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2120" windowHeight="2895" tabRatio="385" activeTab="0"/>
  </bookViews>
  <sheets>
    <sheet name="AppData" sheetId="1" r:id="rId1"/>
    <sheet name="Products" sheetId="2" r:id="rId2"/>
    <sheet name="LPP" sheetId="3" r:id="rId3"/>
    <sheet name="Calc" sheetId="4" state="hidden" r:id="rId4"/>
    <sheet name="Table 3 - 3A" sheetId="5" state="hidden" r:id="rId5"/>
  </sheets>
  <definedNames>
    <definedName name="HR">'Calc'!$B$30:$B$32</definedName>
    <definedName name="_xlnm.Print_Area" localSheetId="0">'AppData'!$A$1:$AJ$119</definedName>
    <definedName name="_xlnm.Print_Area" localSheetId="2">'LPP'!$U$1:$AF$60</definedName>
    <definedName name="TYPE">'Calc'!$B$30:$B$32</definedName>
    <definedName name="YN">'Calc'!$B$36:$B$37</definedName>
    <definedName name="Z_D43D741C_C67B_4956_84FF_3D037FABF94A_.wvu.PrintArea" localSheetId="0" hidden="1">'AppData'!$A$1:$AJ$119</definedName>
    <definedName name="Z_D43D741C_C67B_4956_84FF_3D037FABF94A_.wvu.PrintArea" localSheetId="2" hidden="1">'LPP'!$U$1:$AF$60</definedName>
    <definedName name="Z_D43D741C_C67B_4956_84FF_3D037FABF94A_.wvu.Rows" localSheetId="0" hidden="1">'AppData'!$57:$76,'AppData'!$122:$212</definedName>
    <definedName name="Z_D43D741C_C67B_4956_84FF_3D037FABF94A_.wvu.Rows" localSheetId="2" hidden="1">'LPP'!$101:$183</definedName>
    <definedName name="Z_D43D741C_C67B_4956_84FF_3D037FABF94A_.wvu.Rows" localSheetId="4" hidden="1">'Table 3 - 3A'!$190:$190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EN1RFARR</author>
  </authors>
  <commentList>
    <comment ref="C12" authorId="0">
      <text>
        <r>
          <rPr>
            <sz val="8"/>
            <rFont val="Tahoma"/>
            <family val="0"/>
          </rPr>
          <t>ENTER ONLY IF DESIGN IS
OVERCOMING "ASHES", "ROCK", OR "OTHER".   RECORD AS 0 (zero). OR A NEGATIVE [-] NUMBER.  ALSO, PRE-TREATMENT REQUIRED WHEN ASHES &lt;6", OR ROCK IS &lt;12". [MARK "Y" IN CELL C15, LINE G-1].</t>
        </r>
      </text>
    </comment>
    <comment ref="C6" authorId="0">
      <text>
        <r>
          <rPr>
            <b/>
            <sz val="8"/>
            <rFont val="Tahoma"/>
            <family val="0"/>
          </rPr>
          <t>Pretreatment required for perc &lt;1 or &gt;240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<sst xmlns="http://schemas.openxmlformats.org/spreadsheetml/2006/main" count="1436" uniqueCount="810">
  <si>
    <r>
      <t xml:space="preserve">Side &amp; End Slopes on </t>
    </r>
    <r>
      <rPr>
        <b/>
        <sz val="10"/>
        <rFont val="Arial"/>
        <family val="0"/>
      </rPr>
      <t>Level Lot</t>
    </r>
    <r>
      <rPr>
        <sz val="10"/>
        <rFont val="Arial"/>
        <family val="0"/>
      </rPr>
      <t xml:space="preserve"> =</t>
    </r>
  </si>
  <si>
    <r>
      <t xml:space="preserve">End </t>
    </r>
    <r>
      <rPr>
        <sz val="10"/>
        <rFont val="Arial"/>
        <family val="0"/>
      </rPr>
      <t xml:space="preserve">Slopes on </t>
    </r>
    <r>
      <rPr>
        <b/>
        <sz val="10"/>
        <rFont val="Arial"/>
        <family val="0"/>
      </rPr>
      <t>Sloping Lot</t>
    </r>
    <r>
      <rPr>
        <sz val="10"/>
        <rFont val="Arial"/>
        <family val="0"/>
      </rPr>
      <t xml:space="preserve"> =</t>
    </r>
  </si>
  <si>
    <r>
      <t>Upper Side Slope</t>
    </r>
    <r>
      <rPr>
        <sz val="10"/>
        <rFont val="Arial"/>
        <family val="0"/>
      </rPr>
      <t xml:space="preserve"> on </t>
    </r>
    <r>
      <rPr>
        <b/>
        <sz val="10"/>
        <rFont val="Arial"/>
        <family val="0"/>
      </rPr>
      <t>Sloping Lot</t>
    </r>
    <r>
      <rPr>
        <sz val="10"/>
        <rFont val="Arial"/>
        <family val="0"/>
      </rPr>
      <t xml:space="preserve"> =</t>
    </r>
  </si>
  <si>
    <r>
      <t>"Downside" Slope</t>
    </r>
    <r>
      <rPr>
        <sz val="10"/>
        <rFont val="Arial"/>
        <family val="0"/>
      </rPr>
      <t xml:space="preserve"> on </t>
    </r>
    <r>
      <rPr>
        <b/>
        <sz val="10"/>
        <rFont val="Arial"/>
        <family val="0"/>
      </rPr>
      <t>Sloping Lot</t>
    </r>
    <r>
      <rPr>
        <sz val="10"/>
        <rFont val="Arial"/>
        <family val="0"/>
      </rPr>
      <t xml:space="preserve"> =</t>
    </r>
  </si>
  <si>
    <t>sq. feet</t>
  </si>
  <si>
    <t>DA length - 2' (1' ea. End)</t>
  </si>
  <si>
    <t xml:space="preserve"> 1 line for every 3' of width; lines 2' apart and 1' off gravel bed sidewalls or:</t>
  </si>
  <si>
    <t>DA width + 2' setbacks for shoulder</t>
  </si>
  <si>
    <t>DA length + 2' setbacks for shoulder</t>
  </si>
  <si>
    <t>MVS C6=</t>
  </si>
  <si>
    <t>TYPE</t>
  </si>
  <si>
    <t>1- GATHER DATA</t>
  </si>
  <si>
    <t xml:space="preserve"># of Bedrooms= </t>
  </si>
  <si>
    <t>Application Part A</t>
  </si>
  <si>
    <t>inches</t>
  </si>
  <si>
    <t>Application Part C</t>
  </si>
  <si>
    <t>Perc Rate-original soil =</t>
  </si>
  <si>
    <t>mpi</t>
  </si>
  <si>
    <t>Width of Trench =</t>
  </si>
  <si>
    <t>feet</t>
  </si>
  <si>
    <t>Plot plan (standard width is 3')</t>
  </si>
  <si>
    <t>A</t>
  </si>
  <si>
    <t>B</t>
  </si>
  <si>
    <t>C</t>
  </si>
  <si>
    <t>D</t>
  </si>
  <si>
    <t>E</t>
  </si>
  <si>
    <t>4" Pipe @ center of trench =</t>
  </si>
  <si>
    <t xml:space="preserve">Plot plan </t>
  </si>
  <si>
    <t>F</t>
  </si>
  <si>
    <t>Disposal pipe height w/4" pipe=</t>
  </si>
  <si>
    <t>G</t>
  </si>
  <si>
    <t>Y</t>
  </si>
  <si>
    <t>G-1</t>
  </si>
  <si>
    <t>I</t>
  </si>
  <si>
    <r>
      <t xml:space="preserve"># of </t>
    </r>
    <r>
      <rPr>
        <b/>
        <sz val="10"/>
        <color indexed="17"/>
        <rFont val="Arial"/>
        <family val="2"/>
      </rPr>
      <t>EDF</t>
    </r>
    <r>
      <rPr>
        <sz val="10"/>
        <rFont val="Arial"/>
        <family val="0"/>
      </rPr>
      <t xml:space="preserve"> laterals </t>
    </r>
    <r>
      <rPr>
        <b/>
        <sz val="10"/>
        <color indexed="17"/>
        <rFont val="Arial"/>
        <family val="2"/>
      </rPr>
      <t>shown</t>
    </r>
    <r>
      <rPr>
        <sz val="10"/>
        <rFont val="Arial"/>
        <family val="0"/>
      </rPr>
      <t xml:space="preserve"> =</t>
    </r>
  </si>
  <si>
    <t>J</t>
  </si>
  <si>
    <t>K</t>
  </si>
  <si>
    <t>L</t>
  </si>
  <si>
    <t>Sq.Ft./Bedroom =</t>
  </si>
  <si>
    <t>sq.ft.</t>
  </si>
  <si>
    <t>Plot plan - Mark: Y or N</t>
  </si>
  <si>
    <t>Plot plan - Maximum 33% slope i.e. 3:1</t>
  </si>
  <si>
    <t>Appendix A Table 3or 3a based on Perc Rate above</t>
  </si>
  <si>
    <t>M</t>
  </si>
  <si>
    <t>TABLE 15</t>
  </si>
  <si>
    <t>M-1</t>
  </si>
  <si>
    <t>L.F.</t>
  </si>
  <si>
    <t>TRENCH BOTTOM =</t>
  </si>
  <si>
    <t>N</t>
  </si>
  <si>
    <t>N-1</t>
  </si>
  <si>
    <t>N-2</t>
  </si>
  <si>
    <t>N-3</t>
  </si>
  <si>
    <t>O</t>
  </si>
  <si>
    <t>O-1</t>
  </si>
  <si>
    <t>O-2</t>
  </si>
  <si>
    <t>O-3</t>
  </si>
  <si>
    <t>Sq. Ft.</t>
  </si>
  <si>
    <t># BR x Sq.Ft/BR</t>
  </si>
  <si>
    <t>Linear Ft. (minimum pipe)=</t>
  </si>
  <si>
    <t>No pre-treatment proposed</t>
  </si>
  <si>
    <t>based on 4"pipe &amp; gravel standard</t>
  </si>
  <si>
    <t>If effluent pre-treated</t>
  </si>
  <si>
    <t>Linear Feet of Pipe =</t>
  </si>
  <si>
    <t xml:space="preserve">  LATERALS:</t>
  </si>
  <si>
    <t>T</t>
  </si>
  <si>
    <t>U</t>
  </si>
  <si>
    <t>Disposal (each) Lateral Length =</t>
  </si>
  <si>
    <t>V</t>
  </si>
  <si>
    <t>Plot plan (Divide pipe capacity by # resulting in &lt; 100' laterals)</t>
  </si>
  <si>
    <t>(Linear Ft. - Combined Header length)/ # of disposal lines</t>
  </si>
  <si>
    <t>W</t>
  </si>
  <si>
    <t>X</t>
  </si>
  <si>
    <t>verify disposal = minimum pipe</t>
  </si>
  <si>
    <t>5-CALCULATE DISTRIBUTION AREA</t>
  </si>
  <si>
    <t>(trench wall to trench wall)</t>
  </si>
  <si>
    <t>AA</t>
  </si>
  <si>
    <t>BB</t>
  </si>
  <si>
    <t>CC</t>
  </si>
  <si>
    <t>sq. ft.</t>
  </si>
  <si>
    <t>NOTE: Solid header(s) with more laterals yield largest distribution area</t>
  </si>
  <si>
    <t xml:space="preserve">6- CALCULATE ABSORPTION AREA  </t>
  </si>
  <si>
    <t>DD</t>
  </si>
  <si>
    <t>EE</t>
  </si>
  <si>
    <t>FF</t>
  </si>
  <si>
    <t>(Distribution Area + 5' buffer on all sides)</t>
  </si>
  <si>
    <t>distribution length + 5' end buffers</t>
  </si>
  <si>
    <t>7-CALCULATE BASAL AREA</t>
  </si>
  <si>
    <t>GG</t>
  </si>
  <si>
    <t>HH</t>
  </si>
  <si>
    <t>II</t>
  </si>
  <si>
    <t>"Footprint" of the CF bed</t>
  </si>
  <si>
    <t>AA length + end slopes [based on no pre-treatment]</t>
  </si>
  <si>
    <t>Basal Length x Basal Width</t>
  </si>
  <si>
    <t>Absorption Length x Absorption Width</t>
  </si>
  <si>
    <t>line length</t>
  </si>
  <si>
    <t>AA-i</t>
  </si>
  <si>
    <t>BB-i</t>
  </si>
  <si>
    <t>DA width</t>
  </si>
  <si>
    <t>DD-i</t>
  </si>
  <si>
    <t>EE-i</t>
  </si>
  <si>
    <t>AA width</t>
  </si>
  <si>
    <t>GG-i</t>
  </si>
  <si>
    <t>HH-i</t>
  </si>
  <si>
    <t>BA width</t>
  </si>
  <si>
    <t>II-i</t>
  </si>
  <si>
    <t>BA</t>
  </si>
  <si>
    <t>in order to accommodate the area required for the basal "footprint".</t>
  </si>
  <si>
    <r>
      <t xml:space="preserve">Required if ASHES is &lt; 6" into original </t>
    </r>
    <r>
      <rPr>
        <sz val="9"/>
        <rFont val="Arial"/>
        <family val="2"/>
      </rPr>
      <t>ground; IF rock &lt;12"; IF perc &gt;240mpi</t>
    </r>
  </si>
  <si>
    <r>
      <t>Controlled Fill Worksheet-Small Diameter Pipe [</t>
    </r>
    <r>
      <rPr>
        <b/>
        <u val="single"/>
        <sz val="14"/>
        <color indexed="12"/>
        <rFont val="Baskerville Old Face"/>
        <family val="0"/>
      </rPr>
      <t>L</t>
    </r>
    <r>
      <rPr>
        <b/>
        <u val="single"/>
        <sz val="14"/>
        <rFont val="Baskerville Old Face"/>
        <family val="0"/>
      </rPr>
      <t xml:space="preserve">ow </t>
    </r>
    <r>
      <rPr>
        <b/>
        <u val="single"/>
        <sz val="14"/>
        <color indexed="12"/>
        <rFont val="Baskerville Old Face"/>
        <family val="0"/>
      </rPr>
      <t>P</t>
    </r>
    <r>
      <rPr>
        <b/>
        <u val="single"/>
        <sz val="14"/>
        <rFont val="Baskerville Old Face"/>
        <family val="0"/>
      </rPr>
      <t xml:space="preserve">ressure </t>
    </r>
    <r>
      <rPr>
        <b/>
        <u val="single"/>
        <sz val="14"/>
        <color indexed="12"/>
        <rFont val="Baskerville Old Face"/>
        <family val="0"/>
      </rPr>
      <t>P</t>
    </r>
    <r>
      <rPr>
        <b/>
        <u val="single"/>
        <sz val="14"/>
        <rFont val="Baskerville Old Face"/>
        <family val="0"/>
      </rPr>
      <t>ipe]</t>
    </r>
  </si>
  <si>
    <t>Distance between pipe centers =</t>
  </si>
  <si>
    <t>LPP setbacks from bed walls =</t>
  </si>
  <si>
    <t>H</t>
  </si>
  <si>
    <t>Perc Test Depth =</t>
  </si>
  <si>
    <t>gpd</t>
  </si>
  <si>
    <t>Sewage Flow</t>
  </si>
  <si>
    <t>H-1</t>
  </si>
  <si>
    <t>Slope =</t>
  </si>
  <si>
    <t>%</t>
  </si>
  <si>
    <t>STEP 1 - Loading Rates</t>
  </si>
  <si>
    <t xml:space="preserve">Linear Loading Rate [LLR] =  </t>
  </si>
  <si>
    <t>vertical flow dominant</t>
  </si>
  <si>
    <t>8-10</t>
  </si>
  <si>
    <t>gpd/lf</t>
  </si>
  <si>
    <t>vertical &amp; horzontal flow</t>
  </si>
  <si>
    <t xml:space="preserve">5-7 </t>
  </si>
  <si>
    <t xml:space="preserve">horizontal flow dominant </t>
  </si>
  <si>
    <t xml:space="preserve">3-4 </t>
  </si>
  <si>
    <t>K-1</t>
  </si>
  <si>
    <t>.67(1)(b) 4</t>
  </si>
  <si>
    <t>Rated: Extreme/Severe Site Limitations</t>
  </si>
  <si>
    <t>Rated: Moderate Site Limitations</t>
  </si>
  <si>
    <t>Rated: Slight Site Limitations</t>
  </si>
  <si>
    <t>gpd/LF</t>
  </si>
  <si>
    <t>Enter LLR for C17 from following table:</t>
  </si>
  <si>
    <t>K-2</t>
  </si>
  <si>
    <t>Basal [Soil] Loading Rate [BALR] =</t>
  </si>
  <si>
    <t>gpd/ft2</t>
  </si>
  <si>
    <t>Enter BALR for C23 from following table:</t>
  </si>
  <si>
    <t>gpd/ft.sq.</t>
  </si>
  <si>
    <t>BALR</t>
  </si>
  <si>
    <t>K-3</t>
  </si>
  <si>
    <t>Fill Material Loading Rate [FMLR] =</t>
  </si>
  <si>
    <t>sand</t>
  </si>
  <si>
    <t>m. sand</t>
  </si>
  <si>
    <t>Fill texture</t>
  </si>
  <si>
    <t>FMLR</t>
  </si>
  <si>
    <t>perc rate &lt;20 min/inch</t>
  </si>
  <si>
    <t>perc rate =/&lt; 20 min/inch [usually &gt;10 ]</t>
  </si>
  <si>
    <t>perc rate 20 to 30 min/inch</t>
  </si>
  <si>
    <t>perc rate 30 to 45 min/inch</t>
  </si>
  <si>
    <t>sandy clay loam</t>
  </si>
  <si>
    <t>sandy loam</t>
  </si>
  <si>
    <t>Based on required separation</t>
  </si>
  <si>
    <t>L-1</t>
  </si>
  <si>
    <t>L-2</t>
  </si>
  <si>
    <t>L-3</t>
  </si>
  <si>
    <t>perc&lt;61</t>
  </si>
  <si>
    <t>pre-treatment</t>
  </si>
  <si>
    <t>trench bottom+gravel&amp;pipe+cover</t>
  </si>
  <si>
    <t>STEP 3 - Calculate Side &amp; End Slopes</t>
  </si>
  <si>
    <t>DA Length =</t>
  </si>
  <si>
    <t>DA Width =</t>
  </si>
  <si>
    <t>DA</t>
  </si>
  <si>
    <t>width</t>
  </si>
  <si>
    <t>LLR / FMLR with minimum of 3'</t>
  </si>
  <si>
    <t>FR</t>
  </si>
  <si>
    <t>FR / LLR</t>
  </si>
  <si>
    <t>DA width x DA Length</t>
  </si>
  <si>
    <t>P</t>
  </si>
  <si>
    <t>STEP 4 - Determine EDF Amount</t>
  </si>
  <si>
    <t>P-1</t>
  </si>
  <si>
    <t>Length =</t>
  </si>
  <si>
    <t># of lines [on 2' centers]</t>
  </si>
  <si>
    <t>EDF</t>
  </si>
  <si>
    <t># of lines</t>
  </si>
  <si>
    <t>line(s)</t>
  </si>
  <si>
    <t>foot</t>
  </si>
  <si>
    <t>[EXAMPLE: A 6' wide DA would require 2 lines, each the length found in P-1]</t>
  </si>
  <si>
    <t>P-2</t>
  </si>
  <si>
    <t>Q</t>
  </si>
  <si>
    <t>Q-1</t>
  </si>
  <si>
    <t>Q-2</t>
  </si>
  <si>
    <t>AA Length =</t>
  </si>
  <si>
    <t>AA Width =</t>
  </si>
  <si>
    <t>AA width x AA length</t>
  </si>
  <si>
    <t>R</t>
  </si>
  <si>
    <t>STEP 6 - Calculate Basal Area</t>
  </si>
  <si>
    <t>R-1</t>
  </si>
  <si>
    <t>R-3</t>
  </si>
  <si>
    <t xml:space="preserve"> Soil Loading Rate Method =</t>
  </si>
  <si>
    <t>Perc Rate:</t>
  </si>
  <si>
    <t>5-20 min/inch</t>
  </si>
  <si>
    <t>41-60 min/inch</t>
  </si>
  <si>
    <t>61-90 min/inch</t>
  </si>
  <si>
    <t>91-120 min/inch</t>
  </si>
  <si>
    <t>121-180 min/inch</t>
  </si>
  <si>
    <t>&gt;180 min/inch</t>
  </si>
  <si>
    <t>Effluent Not</t>
  </si>
  <si>
    <t>Pretreated</t>
  </si>
  <si>
    <t xml:space="preserve">Effluent </t>
  </si>
  <si>
    <t xml:space="preserve"> Geometry Method =</t>
  </si>
  <si>
    <t>R-2</t>
  </si>
  <si>
    <t>geometry method</t>
  </si>
  <si>
    <t>slopes total</t>
  </si>
  <si>
    <t>Q-3</t>
  </si>
  <si>
    <t>STEP 5 - Absorption Area Dimensions</t>
  </si>
  <si>
    <t xml:space="preserve">STEP 4 - Distribution Area Dimensions </t>
  </si>
  <si>
    <t>DISTRIBUTION AREA</t>
  </si>
  <si>
    <t>ABSORPTION AREA</t>
  </si>
  <si>
    <t>BASAL AREA =</t>
  </si>
  <si>
    <t>Plot plan - enter lot slope shown in disposal field area,</t>
  </si>
  <si>
    <t>Slope</t>
  </si>
  <si>
    <t>Slope Correction Factors for Downslope and Upslope CF bed sides</t>
  </si>
  <si>
    <t>Downslope Correction</t>
  </si>
  <si>
    <t>Factor</t>
  </si>
  <si>
    <t>Upslope Correction</t>
  </si>
  <si>
    <t>[Starts at Column N 18 in this spreadsheet]</t>
  </si>
  <si>
    <t>[Starts at Column P 18 in this spreadsheet]</t>
  </si>
  <si>
    <t xml:space="preserve"> If trench bottoms located above NGS, they must be at a </t>
  </si>
  <si>
    <t xml:space="preserve">   minimum height of 6 inches [above NGS]</t>
  </si>
  <si>
    <t>Fill Ht. - downslope</t>
  </si>
  <si>
    <r>
      <t>Downslope</t>
    </r>
    <r>
      <rPr>
        <sz val="10"/>
        <rFont val="Arial"/>
        <family val="0"/>
      </rPr>
      <t xml:space="preserve"> Correction Factor =</t>
    </r>
  </si>
  <si>
    <r>
      <t>Upslope</t>
    </r>
    <r>
      <rPr>
        <sz val="10"/>
        <rFont val="Arial"/>
        <family val="0"/>
      </rPr>
      <t xml:space="preserve"> Correction Factor = </t>
    </r>
  </si>
  <si>
    <t>perc &gt;60 [initial]</t>
  </si>
  <si>
    <t>Row M-1 plus allowance for slope</t>
  </si>
  <si>
    <t>Endslopes on slope</t>
  </si>
  <si>
    <t>each, in length</t>
  </si>
  <si>
    <t>each, based on a 3:1 [ 33%] slope on each side and end</t>
  </si>
  <si>
    <t>Upper slope on slope</t>
  </si>
  <si>
    <t>Downslope on slope</t>
  </si>
  <si>
    <t>IF R-1 IS REQUIRED,then the side and end slopes will be longer</t>
  </si>
  <si>
    <t>resulting in a slope smaller than 33% [3:1]; such as 4:1 [25%], etc.</t>
  </si>
  <si>
    <t>laterals, no pre-treatment</t>
  </si>
  <si>
    <t>laterals, w/ pre-treatment</t>
  </si>
  <si>
    <t>Lateral length as proposed =</t>
  </si>
  <si>
    <t>length</t>
  </si>
  <si>
    <t>Y-I                      shown</t>
  </si>
  <si>
    <t>ft each</t>
  </si>
  <si>
    <t xml:space="preserve">Z-I                       shown                       </t>
  </si>
  <si>
    <t>total</t>
  </si>
  <si>
    <t># suggested</t>
  </si>
  <si>
    <t>U-I  line length shown, NPT</t>
  </si>
  <si>
    <t>U-2 line length shown, WPT</t>
  </si>
  <si>
    <t>header length</t>
  </si>
  <si>
    <t>headers length [total]</t>
  </si>
  <si>
    <t>W-1</t>
  </si>
  <si>
    <t>X-1</t>
  </si>
  <si>
    <t>Y-1   suggested/required of PT</t>
  </si>
  <si>
    <t>Z-1   suggested/required for PT</t>
  </si>
  <si>
    <t>AA length NPT</t>
  </si>
  <si>
    <t>DA length NPT</t>
  </si>
  <si>
    <t xml:space="preserve">        required of NPT</t>
  </si>
  <si>
    <t xml:space="preserve">        header length of NPT</t>
  </si>
  <si>
    <t>BOT w/PT and no calculation for high gwi</t>
  </si>
  <si>
    <t>BOT w/PT and calculation for high gwi</t>
  </si>
  <si>
    <t>Not treated</t>
  </si>
  <si>
    <t>Treated</t>
  </si>
  <si>
    <t>Enter FMLR from following table [Table11]:</t>
  </si>
  <si>
    <t>OR Table 13</t>
  </si>
  <si>
    <t>Fill in all YELLOW cells.</t>
  </si>
  <si>
    <t>Fill in all YELLOW items.</t>
  </si>
  <si>
    <t>Bottom of Bed</t>
  </si>
  <si>
    <t>BOTs - LEVEL LOTS</t>
  </si>
  <si>
    <t>Bottom of Trench [ BOT ] -Level lot</t>
  </si>
  <si>
    <t>Bottom of Trench [ BOT ] -Sloped lot</t>
  </si>
  <si>
    <t xml:space="preserve">Upslope side = </t>
  </si>
  <si>
    <t>Downslope side =</t>
  </si>
  <si>
    <t>Downslope Ht. rounded up</t>
  </si>
  <si>
    <t xml:space="preserve"> (figure rounded up)</t>
  </si>
  <si>
    <t>AA (W) + sideslopes x AA (L) + endslopes</t>
  </si>
  <si>
    <t>Larger of 2 methods [R-1 vs R-2] is used</t>
  </si>
  <si>
    <t>R-4</t>
  </si>
  <si>
    <t>Fill Ht. - upslope</t>
  </si>
  <si>
    <t>FILL HEIGHTS - Sloped lots</t>
  </si>
  <si>
    <t>Reduction Pipe Used?</t>
  </si>
  <si>
    <t>each</t>
  </si>
  <si>
    <t>NO REDUCTION IN BA BASED ON TYPE OF PIPE USED</t>
  </si>
  <si>
    <t>FT2 Required [gravel standard]</t>
  </si>
  <si>
    <t># suggested minus 1</t>
  </si>
  <si>
    <t># suggested minus 2</t>
  </si>
  <si>
    <t xml:space="preserve">J </t>
  </si>
  <si>
    <t>Total for side &amp; end slopes =</t>
  </si>
  <si>
    <t>X-i</t>
  </si>
  <si>
    <t>X-1-i</t>
  </si>
  <si>
    <t>U-i</t>
  </si>
  <si>
    <t xml:space="preserve">ALTERNATE CALCULATIONS FOR LONGER LATERAL LENGTHS </t>
  </si>
  <si>
    <r>
      <t>NOTE</t>
    </r>
    <r>
      <rPr>
        <sz val="10"/>
        <rFont val="Arial"/>
        <family val="0"/>
      </rPr>
      <t xml:space="preserve">: </t>
    </r>
    <r>
      <rPr>
        <sz val="10"/>
        <color indexed="17"/>
        <rFont val="Arial"/>
        <family val="2"/>
      </rPr>
      <t>If non-treated design would have 5 EDF laterals to meet &lt;100' requirement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then Basal Area</t>
    </r>
  </si>
  <si>
    <t>The Spreadsheet automatically calculates this.</t>
  </si>
  <si>
    <t>Recommended # of laterals</t>
  </si>
  <si>
    <t>for longer bed, larger BA</t>
  </si>
  <si>
    <t>Lateral lengths for "K" =</t>
  </si>
  <si>
    <t>L.F. each</t>
  </si>
  <si>
    <t>EZFLOW</t>
  </si>
  <si>
    <t>INFILTRATOR</t>
  </si>
  <si>
    <t>ADS</t>
  </si>
  <si>
    <r>
      <t>Sizing Factor</t>
    </r>
    <r>
      <rPr>
        <sz val="8"/>
        <rFont val="Arial"/>
        <family val="0"/>
      </rPr>
      <t xml:space="preserve">=.6 for all except Bio3 = .55; </t>
    </r>
    <r>
      <rPr>
        <b/>
        <sz val="8"/>
        <rFont val="Arial"/>
        <family val="2"/>
      </rPr>
      <t>Bottom Area</t>
    </r>
    <r>
      <rPr>
        <sz val="8"/>
        <rFont val="Arial"/>
        <family val="0"/>
      </rPr>
      <t xml:space="preserve"> = 18.75 for all except for Bio 2 =10.75, Bio 3 =14.33, &amp; ARC 36 = 15; </t>
    </r>
    <r>
      <rPr>
        <b/>
        <sz val="8"/>
        <rFont val="Arial"/>
        <family val="2"/>
      </rPr>
      <t>Length</t>
    </r>
    <r>
      <rPr>
        <sz val="8"/>
        <rFont val="Arial"/>
        <family val="0"/>
      </rPr>
      <t xml:space="preserve"> = 75" for all except Bio 2 &amp; 3 = 86", ARC 36 = 60"</t>
    </r>
  </si>
  <si>
    <r>
      <t>Sizing Factor</t>
    </r>
    <r>
      <rPr>
        <sz val="8"/>
        <rFont val="Arial"/>
        <family val="0"/>
      </rPr>
      <t xml:space="preserve"> = .6 for all except EQ 36 = .5; </t>
    </r>
    <r>
      <rPr>
        <b/>
        <sz val="8"/>
        <rFont val="Arial"/>
        <family val="2"/>
      </rPr>
      <t>Bottom Area</t>
    </r>
    <r>
      <rPr>
        <sz val="8"/>
        <rFont val="Arial"/>
        <family val="0"/>
      </rPr>
      <t xml:space="preserve"> = 18.75 for all except for EQ36 = 16.67 &amp; Quick 4 = 12; </t>
    </r>
    <r>
      <rPr>
        <b/>
        <sz val="8"/>
        <rFont val="Arial"/>
        <family val="2"/>
      </rPr>
      <t>Length</t>
    </r>
    <r>
      <rPr>
        <sz val="8"/>
        <rFont val="Arial"/>
        <family val="0"/>
      </rPr>
      <t xml:space="preserve"> = 75" for all except EQ 36 &amp; Quick 4 = 48"</t>
    </r>
  </si>
  <si>
    <t>CULTEC</t>
  </si>
  <si>
    <r>
      <t>Sizing Factor</t>
    </r>
    <r>
      <rPr>
        <sz val="7"/>
        <rFont val="Arial"/>
        <family val="0"/>
      </rPr>
      <t xml:space="preserve"> = </t>
    </r>
    <r>
      <rPr>
        <sz val="8"/>
        <rFont val="Arial"/>
        <family val="2"/>
      </rPr>
      <t>.6</t>
    </r>
    <r>
      <rPr>
        <sz val="7"/>
        <rFont val="Arial"/>
        <family val="0"/>
      </rPr>
      <t xml:space="preserve"> for all except C125 = </t>
    </r>
    <r>
      <rPr>
        <sz val="8"/>
        <rFont val="Arial"/>
        <family val="2"/>
      </rPr>
      <t>.55</t>
    </r>
    <r>
      <rPr>
        <sz val="7"/>
        <rFont val="Arial"/>
        <family val="0"/>
      </rPr>
      <t xml:space="preserve">; </t>
    </r>
    <r>
      <rPr>
        <b/>
        <sz val="7"/>
        <rFont val="Arial"/>
        <family val="2"/>
      </rPr>
      <t>Bottom Area</t>
    </r>
    <r>
      <rPr>
        <sz val="7"/>
        <rFont val="Arial"/>
        <family val="0"/>
      </rPr>
      <t xml:space="preserve"> = </t>
    </r>
    <r>
      <rPr>
        <sz val="8"/>
        <rFont val="Arial"/>
        <family val="2"/>
      </rPr>
      <t>10.67</t>
    </r>
    <r>
      <rPr>
        <sz val="7"/>
        <rFont val="Arial"/>
        <family val="0"/>
      </rPr>
      <t xml:space="preserve"> for CZE 24, </t>
    </r>
    <r>
      <rPr>
        <sz val="8"/>
        <rFont val="Arial"/>
        <family val="2"/>
      </rPr>
      <t>15.63</t>
    </r>
    <r>
      <rPr>
        <sz val="7"/>
        <rFont val="Arial"/>
        <family val="0"/>
      </rPr>
      <t xml:space="preserve"> for C75 and C125;  </t>
    </r>
    <r>
      <rPr>
        <sz val="8"/>
        <rFont val="Arial"/>
        <family val="2"/>
      </rPr>
      <t>19</t>
    </r>
    <r>
      <rPr>
        <sz val="7"/>
        <rFont val="Arial"/>
        <family val="0"/>
      </rPr>
      <t xml:space="preserve"> for RCH 180,  </t>
    </r>
    <r>
      <rPr>
        <sz val="8"/>
        <rFont val="Arial"/>
        <family val="2"/>
      </rPr>
      <t>19.5</t>
    </r>
    <r>
      <rPr>
        <sz val="7"/>
        <rFont val="Arial"/>
        <family val="0"/>
      </rPr>
      <t xml:space="preserve"> for C125; </t>
    </r>
    <r>
      <rPr>
        <b/>
        <sz val="7"/>
        <rFont val="Arial"/>
        <family val="2"/>
      </rPr>
      <t>Length</t>
    </r>
    <r>
      <rPr>
        <sz val="7"/>
        <rFont val="Arial"/>
        <family val="0"/>
      </rPr>
      <t xml:space="preserve"> = </t>
    </r>
    <r>
      <rPr>
        <sz val="8"/>
        <rFont val="Arial"/>
        <family val="2"/>
      </rPr>
      <t>75"</t>
    </r>
    <r>
      <rPr>
        <sz val="7"/>
        <rFont val="Arial"/>
        <family val="0"/>
      </rPr>
      <t xml:space="preserve"> for C75 &amp; C125,  </t>
    </r>
    <r>
      <rPr>
        <sz val="8"/>
        <rFont val="Arial"/>
        <family val="2"/>
      </rPr>
      <t xml:space="preserve">76" </t>
    </r>
    <r>
      <rPr>
        <sz val="7"/>
        <rFont val="Arial"/>
        <family val="0"/>
      </rPr>
      <t xml:space="preserve">for RCH180,  </t>
    </r>
    <r>
      <rPr>
        <sz val="8"/>
        <rFont val="Arial"/>
        <family val="2"/>
      </rPr>
      <t>78"</t>
    </r>
    <r>
      <rPr>
        <sz val="7"/>
        <rFont val="Arial"/>
        <family val="0"/>
      </rPr>
      <t xml:space="preserve"> for C75,  </t>
    </r>
    <r>
      <rPr>
        <sz val="8"/>
        <rFont val="Arial"/>
        <family val="2"/>
      </rPr>
      <t>96"</t>
    </r>
    <r>
      <rPr>
        <sz val="7"/>
        <rFont val="Arial"/>
        <family val="0"/>
      </rPr>
      <t xml:space="preserve"> for CZE 24</t>
    </r>
  </si>
  <si>
    <t>HANCOR</t>
  </si>
  <si>
    <r>
      <t>Sizing Factor</t>
    </r>
    <r>
      <rPr>
        <sz val="8"/>
        <rFont val="Arial"/>
        <family val="0"/>
      </rPr>
      <t xml:space="preserve"> = .6 for all; </t>
    </r>
    <r>
      <rPr>
        <b/>
        <sz val="8"/>
        <rFont val="Arial"/>
        <family val="2"/>
      </rPr>
      <t xml:space="preserve">Bottom Area </t>
    </r>
    <r>
      <rPr>
        <sz val="8"/>
        <rFont val="Arial"/>
        <family val="0"/>
      </rPr>
      <t xml:space="preserve">= 10.6 for Narrow, 17.4 for High Capacity, 17,7 for Standard; </t>
    </r>
    <r>
      <rPr>
        <b/>
        <sz val="8"/>
        <rFont val="Arial"/>
        <family val="2"/>
      </rPr>
      <t>Length</t>
    </r>
    <r>
      <rPr>
        <sz val="8"/>
        <rFont val="Arial"/>
        <family val="0"/>
      </rPr>
      <t xml:space="preserve"> = 75" for Standard, 76" for High Capacity, 101.5" for Narrow</t>
    </r>
  </si>
  <si>
    <t>FT2</t>
  </si>
  <si>
    <r>
      <t xml:space="preserve">TIMES the required </t>
    </r>
    <r>
      <rPr>
        <b/>
        <sz val="8"/>
        <rFont val="Arial"/>
        <family val="2"/>
      </rPr>
      <t>SIZING FACTOR</t>
    </r>
    <r>
      <rPr>
        <sz val="8"/>
        <rFont val="Arial"/>
        <family val="0"/>
      </rPr>
      <t xml:space="preserve"> [ SF ]</t>
    </r>
  </si>
  <si>
    <t>SF</t>
  </si>
  <si>
    <t>BTA</t>
  </si>
  <si>
    <r>
      <t xml:space="preserve">DIVIDED by the required </t>
    </r>
    <r>
      <rPr>
        <b/>
        <sz val="8"/>
        <rFont val="Arial"/>
        <family val="2"/>
      </rPr>
      <t>BOTTOM AREA</t>
    </r>
    <r>
      <rPr>
        <sz val="8"/>
        <rFont val="Arial"/>
        <family val="0"/>
      </rPr>
      <t xml:space="preserve"> [ BTA ]</t>
    </r>
  </si>
  <si>
    <r>
      <t>divided by 12 equals Linear Feet [</t>
    </r>
    <r>
      <rPr>
        <b/>
        <sz val="8"/>
        <rFont val="Arial"/>
        <family val="2"/>
      </rPr>
      <t xml:space="preserve"> L.F</t>
    </r>
    <r>
      <rPr>
        <sz val="8"/>
        <rFont val="Arial"/>
        <family val="2"/>
      </rPr>
      <t>.] of chamber</t>
    </r>
  </si>
  <si>
    <r>
      <t>TIMES LENGTH [</t>
    </r>
    <r>
      <rPr>
        <b/>
        <sz val="8"/>
        <rFont val="Arial"/>
        <family val="2"/>
      </rPr>
      <t xml:space="preserve"> L </t>
    </r>
    <r>
      <rPr>
        <sz val="8"/>
        <rFont val="Arial"/>
        <family val="0"/>
      </rPr>
      <t>] of each chamber</t>
    </r>
  </si>
  <si>
    <t xml:space="preserve">EQUALS the number of chambers; </t>
  </si>
  <si>
    <t>#</t>
  </si>
  <si>
    <r>
      <t>Sizing Factors</t>
    </r>
    <r>
      <rPr>
        <sz val="8"/>
        <rFont val="Arial"/>
        <family val="0"/>
      </rPr>
      <t>: 1003H=</t>
    </r>
    <r>
      <rPr>
        <b/>
        <sz val="8"/>
        <rFont val="Arial"/>
        <family val="2"/>
      </rPr>
      <t>.33</t>
    </r>
    <r>
      <rPr>
        <sz val="8"/>
        <rFont val="Arial"/>
        <family val="0"/>
      </rPr>
      <t>; 1203H=</t>
    </r>
    <r>
      <rPr>
        <b/>
        <sz val="8"/>
        <rFont val="Arial"/>
        <family val="2"/>
      </rPr>
      <t>.25</t>
    </r>
    <r>
      <rPr>
        <sz val="8"/>
        <rFont val="Arial"/>
        <family val="0"/>
      </rPr>
      <t>; 1003T=</t>
    </r>
    <r>
      <rPr>
        <b/>
        <sz val="8"/>
        <rFont val="Arial"/>
        <family val="2"/>
      </rPr>
      <t>.2</t>
    </r>
    <r>
      <rPr>
        <sz val="8"/>
        <rFont val="Arial"/>
        <family val="0"/>
      </rPr>
      <t>; 1006H=</t>
    </r>
    <r>
      <rPr>
        <b/>
        <sz val="8"/>
        <rFont val="Arial"/>
        <family val="2"/>
      </rPr>
      <t>.17</t>
    </r>
    <r>
      <rPr>
        <sz val="8"/>
        <rFont val="Arial"/>
        <family val="0"/>
      </rPr>
      <t>; 1002V=</t>
    </r>
    <r>
      <rPr>
        <b/>
        <sz val="8"/>
        <rFont val="Arial"/>
        <family val="2"/>
      </rPr>
      <t>.25</t>
    </r>
    <r>
      <rPr>
        <sz val="8"/>
        <rFont val="Arial"/>
        <family val="0"/>
      </rPr>
      <t>; 1003V=</t>
    </r>
    <r>
      <rPr>
        <b/>
        <sz val="8"/>
        <rFont val="Arial"/>
        <family val="2"/>
      </rPr>
      <t>.16</t>
    </r>
    <r>
      <rPr>
        <sz val="8"/>
        <rFont val="Arial"/>
        <family val="0"/>
      </rPr>
      <t>; 1006V=</t>
    </r>
    <r>
      <rPr>
        <b/>
        <sz val="8"/>
        <rFont val="Arial"/>
        <family val="2"/>
      </rPr>
      <t>.1</t>
    </r>
  </si>
  <si>
    <r>
      <t>EZFLOW FORMULA</t>
    </r>
    <r>
      <rPr>
        <sz val="8"/>
        <rFont val="Arial"/>
        <family val="0"/>
      </rPr>
      <t xml:space="preserve"> = </t>
    </r>
    <r>
      <rPr>
        <b/>
        <sz val="8"/>
        <rFont val="Arial"/>
        <family val="2"/>
      </rPr>
      <t>FT2</t>
    </r>
    <r>
      <rPr>
        <sz val="8"/>
        <rFont val="Arial"/>
        <family val="0"/>
      </rPr>
      <t xml:space="preserve"> of Gravel Standard pipe required</t>
    </r>
  </si>
  <si>
    <r>
      <t xml:space="preserve">DIVIDED by the </t>
    </r>
    <r>
      <rPr>
        <b/>
        <sz val="8"/>
        <rFont val="Arial"/>
        <family val="2"/>
      </rPr>
      <t>SIZING FACTOR</t>
    </r>
    <r>
      <rPr>
        <sz val="8"/>
        <rFont val="Arial"/>
        <family val="0"/>
      </rPr>
      <t xml:space="preserve"> [ SF ]</t>
    </r>
  </si>
  <si>
    <t>square feet</t>
  </si>
  <si>
    <t>EQUALS initial amount of pipe required</t>
  </si>
  <si>
    <r>
      <t>EQUALS AMOUNT</t>
    </r>
    <r>
      <rPr>
        <sz val="8"/>
        <rFont val="Arial"/>
        <family val="0"/>
      </rPr>
      <t xml:space="preserve"> OF EZFLOW PIPE</t>
    </r>
  </si>
  <si>
    <t>linear feet of EZFLOW</t>
  </si>
  <si>
    <t>ELJEN</t>
  </si>
  <si>
    <t>SEE X15 THRU X19</t>
  </si>
  <si>
    <r>
      <t>ELJEN &amp; CHAMBER FORMULA</t>
    </r>
    <r>
      <rPr>
        <b/>
        <sz val="8"/>
        <rFont val="Arial"/>
        <family val="2"/>
      </rPr>
      <t xml:space="preserve"> = FT2</t>
    </r>
    <r>
      <rPr>
        <sz val="8"/>
        <rFont val="Arial"/>
        <family val="2"/>
      </rPr>
      <t xml:space="preserve"> of Gravel Standard pipe required </t>
    </r>
  </si>
  <si>
    <t>modules or chambers</t>
  </si>
  <si>
    <t>linear feet of module\chamber pipe</t>
  </si>
  <si>
    <r>
      <t>Sizing Factor</t>
    </r>
    <r>
      <rPr>
        <sz val="8"/>
        <rFont val="Arial"/>
        <family val="0"/>
      </rPr>
      <t xml:space="preserve"> = .55 for Type B and .6 for GP5-24; </t>
    </r>
    <r>
      <rPr>
        <b/>
        <sz val="8"/>
        <rFont val="Arial"/>
        <family val="2"/>
      </rPr>
      <t>Bottom Area</t>
    </r>
    <r>
      <rPr>
        <sz val="8"/>
        <rFont val="Arial"/>
        <family val="0"/>
      </rPr>
      <t xml:space="preserve"> = 12 for Type B and 10 for GP5-24; </t>
    </r>
    <r>
      <rPr>
        <b/>
        <sz val="8"/>
        <rFont val="Arial"/>
        <family val="2"/>
      </rPr>
      <t>Length</t>
    </r>
    <r>
      <rPr>
        <sz val="8"/>
        <rFont val="Arial"/>
        <family val="0"/>
      </rPr>
      <t xml:space="preserve"> = 48" for Type B and 60" for GP5-25</t>
    </r>
  </si>
  <si>
    <t>NO ADDITIONAL REDUCTION FOR PRE-TREATMENT</t>
  </si>
  <si>
    <t>Lateral lengths for "K2" =</t>
  </si>
  <si>
    <t>OR</t>
  </si>
  <si>
    <t>NOTE:</t>
  </si>
  <si>
    <t>U12</t>
  </si>
  <si>
    <t xml:space="preserve">U17, U18 &amp; U20 </t>
  </si>
  <si>
    <t xml:space="preserve"> CLEAR CURRENT ENTRIES IN CELLS</t>
  </si>
  <si>
    <t>THEN ADD CORRECT DATA</t>
  </si>
  <si>
    <t>REDUCTION PIPE PROPOSED:</t>
  </si>
  <si>
    <t>SEE X12</t>
  </si>
  <si>
    <t>4" pipe</t>
  </si>
  <si>
    <t>REDUCTION PIPING USED =</t>
  </si>
  <si>
    <t>SLOPE LENGTHS [ Totals for Both Ends or for Both Sides]</t>
  </si>
  <si>
    <t>Plot Plan; Show "0", "1" or "2"</t>
  </si>
  <si>
    <t>Minimum Distribution Length =</t>
  </si>
  <si>
    <t>Minimum Distribution Width =</t>
  </si>
  <si>
    <t>Minimum Distribution Area =</t>
  </si>
  <si>
    <t>Minimum Absorption Length =</t>
  </si>
  <si>
    <t>Minimum Absorption Width =</t>
  </si>
  <si>
    <t>Minimum Absorption Area =</t>
  </si>
  <si>
    <t>Minimum Basal Length =</t>
  </si>
  <si>
    <t>Minimum Basal Width =</t>
  </si>
  <si>
    <t xml:space="preserve">Minimum Basal Area = </t>
  </si>
  <si>
    <t>N-2i</t>
  </si>
  <si>
    <r>
      <t xml:space="preserve">    </t>
    </r>
    <r>
      <rPr>
        <sz val="10"/>
        <rFont val="Arial"/>
        <family val="2"/>
      </rPr>
      <t># of Solid Headers</t>
    </r>
  </si>
  <si>
    <r>
      <t>See Construction Plan (</t>
    </r>
    <r>
      <rPr>
        <sz val="10"/>
        <color indexed="10"/>
        <rFont val="Arial"/>
        <family val="2"/>
      </rPr>
      <t>CP</t>
    </r>
    <r>
      <rPr>
        <sz val="10"/>
        <rFont val="Arial"/>
        <family val="0"/>
      </rPr>
      <t xml:space="preserve">) </t>
    </r>
    <r>
      <rPr>
        <sz val="10"/>
        <color indexed="61"/>
        <rFont val="Arial"/>
        <family val="2"/>
      </rPr>
      <t>[</t>
    </r>
    <r>
      <rPr>
        <sz val="10"/>
        <color indexed="17"/>
        <rFont val="Arial"/>
        <family val="2"/>
      </rPr>
      <t>enter 0, 1 or 2</t>
    </r>
    <r>
      <rPr>
        <sz val="10"/>
        <color indexed="61"/>
        <rFont val="Arial"/>
        <family val="2"/>
      </rPr>
      <t>]</t>
    </r>
  </si>
  <si>
    <r>
      <t xml:space="preserve">3 [ft] (UNLESS other width indicated on </t>
    </r>
    <r>
      <rPr>
        <sz val="10"/>
        <color indexed="10"/>
        <rFont val="Arial"/>
        <family val="2"/>
      </rPr>
      <t>CP)</t>
    </r>
    <r>
      <rPr>
        <sz val="10"/>
        <rFont val="Arial"/>
        <family val="0"/>
      </rPr>
      <t xml:space="preserve"> </t>
    </r>
  </si>
  <si>
    <t>As calculated based on gravel standard</t>
  </si>
  <si>
    <r>
      <t>Basal Length  [</t>
    </r>
    <r>
      <rPr>
        <b/>
        <sz val="10"/>
        <color indexed="52"/>
        <rFont val="Arial"/>
        <family val="2"/>
      </rPr>
      <t>BASED ON GRAVEL STANDARD</t>
    </r>
    <r>
      <rPr>
        <b/>
        <sz val="10"/>
        <rFont val="Arial"/>
        <family val="2"/>
      </rPr>
      <t>]</t>
    </r>
  </si>
  <si>
    <r>
      <t>Basal Width   [</t>
    </r>
    <r>
      <rPr>
        <b/>
        <sz val="10"/>
        <color indexed="52"/>
        <rFont val="Arial"/>
        <family val="2"/>
      </rPr>
      <t>BASED ON GRAVEL STANDARD</t>
    </r>
    <r>
      <rPr>
        <b/>
        <sz val="10"/>
        <rFont val="Arial"/>
        <family val="2"/>
      </rPr>
      <t>]</t>
    </r>
  </si>
  <si>
    <r>
      <t>Basal Area     [</t>
    </r>
    <r>
      <rPr>
        <b/>
        <sz val="10"/>
        <color indexed="52"/>
        <rFont val="Arial"/>
        <family val="2"/>
      </rPr>
      <t>BASED ON GRAVEL STANDARD</t>
    </r>
    <r>
      <rPr>
        <b/>
        <sz val="10"/>
        <rFont val="Arial"/>
        <family val="2"/>
      </rPr>
      <t xml:space="preserve">] </t>
    </r>
  </si>
  <si>
    <t>ADJUST SIDE &amp; END SLOPE LENGTHS TO PROVIDE L &amp; W</t>
  </si>
  <si>
    <r>
      <t>Eljen Type B</t>
    </r>
    <r>
      <rPr>
        <sz val="8"/>
        <rFont val="Arial"/>
        <family val="2"/>
      </rPr>
      <t xml:space="preserve"> = </t>
    </r>
    <r>
      <rPr>
        <b/>
        <sz val="8"/>
        <color indexed="12"/>
        <rFont val="Arial"/>
        <family val="2"/>
      </rPr>
      <t>17"</t>
    </r>
    <r>
      <rPr>
        <sz val="8"/>
        <rFont val="Arial"/>
        <family val="2"/>
      </rPr>
      <t xml:space="preserve"> (6" of sand + 7" for Eljen module + 4" pipe on top)</t>
    </r>
  </si>
  <si>
    <t>C147 ROUNDED UP</t>
  </si>
  <si>
    <t xml:space="preserve">header calculations for 149 </t>
  </si>
  <si>
    <t xml:space="preserve">header calculations for 150 </t>
  </si>
  <si>
    <t>lateral length for 149</t>
  </si>
  <si>
    <t>lateral length for 150</t>
  </si>
  <si>
    <t>SIDE &amp; END SLOPES (other)</t>
  </si>
  <si>
    <t xml:space="preserve">SIDE &amp; END SLOPES (4" pipe) </t>
  </si>
  <si>
    <t>Lat.Length for gravel w/ # lines - 1</t>
  </si>
  <si>
    <t>Lat.Length for gravel w/ # lines - 2</t>
  </si>
  <si>
    <t>Choice between 110 &amp; 111</t>
  </si>
  <si>
    <t>Application Part A - #18</t>
  </si>
  <si>
    <t>Application Part C - 1</t>
  </si>
  <si>
    <t>Application Part C - 2</t>
  </si>
  <si>
    <t>Table 3 or 3a</t>
  </si>
  <si>
    <t>BOT w/No PT &amp; no rock</t>
  </si>
  <si>
    <t xml:space="preserve">  """ &amp; allowance for rock</t>
  </si>
  <si>
    <t>J-1</t>
  </si>
  <si>
    <t>Q-4</t>
  </si>
  <si>
    <t>Q-5</t>
  </si>
  <si>
    <t>Q-6</t>
  </si>
  <si>
    <t>Q-7</t>
  </si>
  <si>
    <t>4 -</t>
  </si>
  <si>
    <t>5- CALCULATE PIPE LAYOUT</t>
  </si>
  <si>
    <t xml:space="preserve">         HEADERS:</t>
  </si>
  <si>
    <t>S</t>
  </si>
  <si>
    <r>
      <t xml:space="preserve">Application Part C </t>
    </r>
    <r>
      <rPr>
        <b/>
        <sz val="8"/>
        <color indexed="53"/>
        <rFont val="Arial"/>
        <family val="2"/>
      </rPr>
      <t>[EXCEPTION: Soils which are Vertisols or Vertic in nature] to be designed at</t>
    </r>
  </si>
  <si>
    <t>LONG, NARROW BEDS ARE RECOMMENDED</t>
  </si>
  <si>
    <t>VERTISOL or VERTIC SOIL MUST BE BASED ON</t>
  </si>
  <si>
    <t>A MINIMUM PERC RATE OF 180 MPI</t>
  </si>
  <si>
    <t>distribution width + 5' side buffers</t>
  </si>
  <si>
    <t>[ "-" in front of number indicates depth below natural ground surface]</t>
  </si>
  <si>
    <t># of Solid Header/Footer Trenches</t>
  </si>
  <si>
    <r>
      <t>BASAL AREA DOES NOT RECEIVE A REDUCTION IN SIZE FOR</t>
    </r>
    <r>
      <rPr>
        <b/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PRE-TREATMENT OR TYPE OF PIPE</t>
    </r>
  </si>
  <si>
    <t>JJ</t>
  </si>
  <si>
    <t>KK</t>
  </si>
  <si>
    <t>LL</t>
  </si>
  <si>
    <t>8A-CALCULATE BASAL AREA FOR PRE-TREATMENT</t>
  </si>
  <si>
    <t>C144 ROUNDED UP</t>
  </si>
  <si>
    <t>DA for NPT</t>
  </si>
  <si>
    <t>AA for NPT</t>
  </si>
  <si>
    <t>BA length[L=other; R=4"]</t>
  </si>
  <si>
    <t>ROUNDED UP</t>
  </si>
  <si>
    <t>BOT w/PT &amp; no rock</t>
  </si>
  <si>
    <t xml:space="preserve">  """ &amp; allowance for rock,"0" if PT</t>
  </si>
  <si>
    <t xml:space="preserve">  """ &amp; allowance for rock,"0" if NPT</t>
  </si>
  <si>
    <t xml:space="preserve"> </t>
  </si>
  <si>
    <r>
      <t xml:space="preserve">CF Bed Height on </t>
    </r>
    <r>
      <rPr>
        <b/>
        <sz val="10"/>
        <color indexed="10"/>
        <rFont val="Arial"/>
        <family val="2"/>
      </rPr>
      <t>Level Lot</t>
    </r>
    <r>
      <rPr>
        <sz val="10"/>
        <rFont val="Arial"/>
        <family val="0"/>
      </rPr>
      <t xml:space="preserve"> =</t>
    </r>
  </si>
  <si>
    <r>
      <t>Upslope</t>
    </r>
    <r>
      <rPr>
        <sz val="10"/>
        <rFont val="Arial"/>
        <family val="0"/>
      </rPr>
      <t xml:space="preserve"> height on </t>
    </r>
    <r>
      <rPr>
        <b/>
        <sz val="10"/>
        <color indexed="53"/>
        <rFont val="Arial"/>
        <family val="2"/>
      </rPr>
      <t>Sloping Lot</t>
    </r>
    <r>
      <rPr>
        <sz val="10"/>
        <rFont val="Arial"/>
        <family val="0"/>
      </rPr>
      <t xml:space="preserve"> =</t>
    </r>
  </si>
  <si>
    <r>
      <t>Downslope</t>
    </r>
    <r>
      <rPr>
        <sz val="10"/>
        <rFont val="Arial"/>
        <family val="0"/>
      </rPr>
      <t xml:space="preserve"> height on </t>
    </r>
    <r>
      <rPr>
        <b/>
        <sz val="10"/>
        <color indexed="53"/>
        <rFont val="Arial"/>
        <family val="2"/>
      </rPr>
      <t>Sloping Lot</t>
    </r>
    <r>
      <rPr>
        <sz val="10"/>
        <rFont val="Arial"/>
        <family val="0"/>
      </rPr>
      <t xml:space="preserve"> =</t>
    </r>
  </si>
  <si>
    <r>
      <t xml:space="preserve">Side &amp; End Slopes on </t>
    </r>
    <r>
      <rPr>
        <b/>
        <sz val="10"/>
        <color indexed="10"/>
        <rFont val="Arial"/>
        <family val="2"/>
      </rPr>
      <t>Level Lot</t>
    </r>
    <r>
      <rPr>
        <sz val="10"/>
        <rFont val="Arial"/>
        <family val="0"/>
      </rPr>
      <t xml:space="preserve"> =</t>
    </r>
  </si>
  <si>
    <r>
      <t>End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Slopes </t>
    </r>
    <r>
      <rPr>
        <sz val="10"/>
        <rFont val="Arial"/>
        <family val="0"/>
      </rPr>
      <t xml:space="preserve">on </t>
    </r>
    <r>
      <rPr>
        <b/>
        <sz val="10"/>
        <color indexed="53"/>
        <rFont val="Arial"/>
        <family val="2"/>
      </rPr>
      <t>Sloping Lot</t>
    </r>
    <r>
      <rPr>
        <sz val="10"/>
        <rFont val="Arial"/>
        <family val="0"/>
      </rPr>
      <t xml:space="preserve"> =</t>
    </r>
  </si>
  <si>
    <r>
      <t xml:space="preserve">Upper </t>
    </r>
    <r>
      <rPr>
        <b/>
        <sz val="10"/>
        <rFont val="Arial"/>
        <family val="2"/>
      </rPr>
      <t>Side Slope</t>
    </r>
    <r>
      <rPr>
        <sz val="10"/>
        <rFont val="Arial"/>
        <family val="0"/>
      </rPr>
      <t xml:space="preserve"> on </t>
    </r>
    <r>
      <rPr>
        <b/>
        <sz val="10"/>
        <color indexed="53"/>
        <rFont val="Arial"/>
        <family val="2"/>
      </rPr>
      <t>Sloping Lot</t>
    </r>
    <r>
      <rPr>
        <sz val="10"/>
        <rFont val="Arial"/>
        <family val="0"/>
      </rPr>
      <t xml:space="preserve"> =</t>
    </r>
  </si>
  <si>
    <r>
      <t xml:space="preserve">"Downside" </t>
    </r>
    <r>
      <rPr>
        <b/>
        <sz val="10"/>
        <rFont val="Arial"/>
        <family val="2"/>
      </rPr>
      <t>Slope</t>
    </r>
    <r>
      <rPr>
        <sz val="10"/>
        <rFont val="Arial"/>
        <family val="0"/>
      </rPr>
      <t xml:space="preserve"> on </t>
    </r>
    <r>
      <rPr>
        <b/>
        <sz val="10"/>
        <color indexed="53"/>
        <rFont val="Arial"/>
        <family val="2"/>
      </rPr>
      <t>Sloping Lot</t>
    </r>
    <r>
      <rPr>
        <sz val="10"/>
        <rFont val="Arial"/>
        <family val="0"/>
      </rPr>
      <t xml:space="preserve"> =</t>
    </r>
  </si>
  <si>
    <t>IF(AND(C113&gt;0,C12="N"),C113,"0")</t>
  </si>
  <si>
    <t>IF(AND(C113&lt;0,C12="N"),C113,"0")</t>
  </si>
  <si>
    <t>Min. # of EDF laterals =</t>
  </si>
  <si>
    <t>Max. # EDF laterals suggested =</t>
  </si>
  <si>
    <t>C30</t>
  </si>
  <si>
    <t>C31</t>
  </si>
  <si>
    <t>COMPLETE INFO ON HEADERS LOCATED AT:</t>
  </si>
  <si>
    <t>Bed Height for Reduction Pipe w/pre-treatment; perc &gt;60</t>
  </si>
  <si>
    <t>Bed Height for Reduction Pipe w/no pre-treatment; perc &gt;60</t>
  </si>
  <si>
    <t>Bed Height for Reduction Pipe w/no pre-treatment; perc &lt;61</t>
  </si>
  <si>
    <t>CHOICE</t>
  </si>
  <si>
    <t>Product Dimensions</t>
  </si>
  <si>
    <t>Height</t>
  </si>
  <si>
    <t>Eljen Type B</t>
  </si>
  <si>
    <t>EZFlow 1003H</t>
  </si>
  <si>
    <t>EZFlow 1203H</t>
  </si>
  <si>
    <t>EZFlow 1003T</t>
  </si>
  <si>
    <t>EZFlow 1006V</t>
  </si>
  <si>
    <t>EZFlow 1003V</t>
  </si>
  <si>
    <t>EZFlow 1006H</t>
  </si>
  <si>
    <t>EZSet FTV 1002</t>
  </si>
  <si>
    <t>EZSet FTH 1002</t>
  </si>
  <si>
    <t>EZSet FTV 1003</t>
  </si>
  <si>
    <t>EZSet FTH 1003</t>
  </si>
  <si>
    <t>EZSet FTH 1006</t>
  </si>
  <si>
    <t>EZSet FTV 1006</t>
  </si>
  <si>
    <t>EZSet FTS 1236</t>
  </si>
  <si>
    <t>Width</t>
  </si>
  <si>
    <t>EZFlow 1002V</t>
  </si>
  <si>
    <t>PTI MPS-9</t>
  </si>
  <si>
    <t>PTI MPS-11</t>
  </si>
  <si>
    <t>PTI MPS-13</t>
  </si>
  <si>
    <t>EZFlow 1002H</t>
  </si>
  <si>
    <t>Gravelless Pipe 8"</t>
  </si>
  <si>
    <t>Gravelless Pipe 10"</t>
  </si>
  <si>
    <t>Cultec Contractor EZ-24</t>
  </si>
  <si>
    <t>Cultec Contractor 125</t>
  </si>
  <si>
    <t>Cultec Recharger 180</t>
  </si>
  <si>
    <t>Cultec Contractor 75</t>
  </si>
  <si>
    <t>Infiltrator Standard H-10</t>
  </si>
  <si>
    <t>Infiltrator Quick 4 Standard Equalizer 36</t>
  </si>
  <si>
    <t>Infiltrator High Cap</t>
  </si>
  <si>
    <t>Infiltrator Sidewinder Standard</t>
  </si>
  <si>
    <t>ADS BioDiffuser Standard 1100BD</t>
  </si>
  <si>
    <t>ADS Bio 2 1500 BD</t>
  </si>
  <si>
    <t>ADS Bio 3 2200 BD</t>
  </si>
  <si>
    <t>ADS ARC 36 3600 BD</t>
  </si>
  <si>
    <t>ADS BioDiffuser 14" High Cap</t>
  </si>
  <si>
    <t>ADS BioDiffuser 16" High Cap</t>
  </si>
  <si>
    <t>Length</t>
  </si>
  <si>
    <t>Bottom Area</t>
  </si>
  <si>
    <t>Mark Product</t>
  </si>
  <si>
    <t>With X in</t>
  </si>
  <si>
    <t>this column</t>
  </si>
  <si>
    <t>Cultec Contractor 100</t>
  </si>
  <si>
    <t>Table 3 &amp; 3a</t>
  </si>
  <si>
    <t>Soil</t>
  </si>
  <si>
    <t>Field Size for Sewage Treated to Primary Standards Based on 0.2 lbs BOD/day/bedroom (1)</t>
  </si>
  <si>
    <t xml:space="preserve">Field Sizing for Establishments </t>
  </si>
  <si>
    <t>Field Sizing for Establishments</t>
  </si>
  <si>
    <t>Texture</t>
  </si>
  <si>
    <t>Primary EDF</t>
  </si>
  <si>
    <t>Separate Washer Line (1)</t>
  </si>
  <si>
    <t>with</t>
  </si>
  <si>
    <t xml:space="preserve">with </t>
  </si>
  <si>
    <t xml:space="preserve">without </t>
  </si>
  <si>
    <t xml:space="preserve">PERCOLATION RATES min/in </t>
  </si>
  <si>
    <t>Group/Perc Rate</t>
  </si>
  <si>
    <t>Square feet</t>
  </si>
  <si>
    <t>Linear feet/bedroom</t>
  </si>
  <si>
    <t>Square feet per bedroom</t>
  </si>
  <si>
    <t>Primary   Effluent</t>
  </si>
  <si>
    <t>Secondary Effluent</t>
  </si>
  <si>
    <t>SOIL GROUP U.S.D.A. Textural Classifications</t>
  </si>
  <si>
    <t>per</t>
  </si>
  <si>
    <t>lbs-BOD/sq ft/day</t>
  </si>
  <si>
    <t>gal / sq ft / day</t>
  </si>
  <si>
    <t>Perc Rate</t>
  </si>
  <si>
    <t>Inverse</t>
  </si>
  <si>
    <t>INFILTRATION RATES FOR PAD/BED</t>
  </si>
  <si>
    <t>gpd/sq.ft</t>
  </si>
  <si>
    <t>INFILTRATION RATES FOR DRIP IRRIGATION</t>
  </si>
  <si>
    <t>Bedroom</t>
  </si>
  <si>
    <t xml:space="preserve">Group I   </t>
  </si>
  <si>
    <t>Group</t>
  </si>
  <si>
    <t>24” Width</t>
  </si>
  <si>
    <t>36” Width</t>
  </si>
  <si>
    <t>Reg</t>
  </si>
  <si>
    <t>Reduc</t>
  </si>
  <si>
    <t>Sand, Loamy Sand</t>
  </si>
  <si>
    <t>5 to 15</t>
  </si>
  <si>
    <t>16 to 30</t>
  </si>
  <si>
    <t>Group II</t>
  </si>
  <si>
    <t>Sandy Loam, Loam</t>
  </si>
  <si>
    <t>30 to 60</t>
  </si>
  <si>
    <t>Group III</t>
  </si>
  <si>
    <t>Sandy Clay Loam, Silty Loam, Silty Clay Loam, Clay Loam</t>
  </si>
  <si>
    <t>60 to 90</t>
  </si>
  <si>
    <t>Group IVa</t>
  </si>
  <si>
    <t>Sandy Clay, Silty Clay, Clay</t>
  </si>
  <si>
    <t>Group IVb</t>
  </si>
  <si>
    <t>High Shrink-Swell Clay, Poorly Structured Soil</t>
  </si>
  <si>
    <t>5b</t>
  </si>
  <si>
    <t>Total Sq.Ft. needed =</t>
  </si>
  <si>
    <t>Gather Data</t>
  </si>
  <si>
    <t xml:space="preserve">Product </t>
  </si>
  <si>
    <t>FACTOR</t>
  </si>
  <si>
    <t>Sq.Ft.</t>
  </si>
  <si>
    <t>Project Sq.Ft. Required:</t>
  </si>
  <si>
    <t>EDF Required</t>
  </si>
  <si>
    <t>Eljen GP5-24</t>
  </si>
  <si>
    <t>Hancor Envirochamber Pro Standard 1100BD</t>
  </si>
  <si>
    <t>Hancor Envirochamber Pro High 1600BD</t>
  </si>
  <si>
    <t>Hancor Envirochamber Pro ARC 3600BD</t>
  </si>
  <si>
    <t>Hancor Envirochamber Pro 15"  Narrow1500BD</t>
  </si>
  <si>
    <t>Hancor Envirochamber Pro 22"  Narrow2200BD</t>
  </si>
  <si>
    <t>Infiltrator Sidewider High Capacity</t>
  </si>
  <si>
    <t>Infiltrator Equalizer 36</t>
  </si>
  <si>
    <t xml:space="preserve">Infiltrator Quick 4 Standard </t>
  </si>
  <si>
    <t>WARNING MAXIMUM LIMIT DO NOT WRITE BELOW THIS LINE</t>
  </si>
  <si>
    <t>ActualWidth</t>
  </si>
  <si>
    <t>REDUCT</t>
  </si>
  <si>
    <t>PRODUCT EDF</t>
  </si>
  <si>
    <t>TOTAL LF</t>
  </si>
  <si>
    <t>HEIGHT"</t>
  </si>
  <si>
    <t>WIDTH"</t>
  </si>
  <si>
    <t>LENGTH Ft.</t>
  </si>
  <si>
    <t>PRODUCTS SHEET</t>
  </si>
  <si>
    <t>N/A</t>
  </si>
  <si>
    <t>21-40 min/inch</t>
  </si>
  <si>
    <t>Mound side slope Run per 1' rise =</t>
  </si>
  <si>
    <t>Is site located in Vertisols/Vertic soils? Y/N (design @ 180 mpi if Y)</t>
  </si>
  <si>
    <t>REQUIRED MVS=</t>
  </si>
  <si>
    <t>Determine MVS for Hard Rock (HR)</t>
  </si>
  <si>
    <t>Determine MVS for ASHES (A)</t>
  </si>
  <si>
    <t>Determine MVS for Other (O)</t>
  </si>
  <si>
    <t>=IF(OR(C14=" ",C14=""),"",IF(C14="A",IF(C6&lt;1,24),IF(AND(C14="A",C6&lt;5),IF(AND(C14="A",C25="Y"),24,36),IF(AND(C14="A",C6&lt;61),24,IF(AND(C14="A",C6&gt;60,C6&lt;241),18,IF(C14="A",12,0))))))</t>
  </si>
  <si>
    <t>Determine MVS with Treatment</t>
  </si>
  <si>
    <t>HARD ROCK</t>
  </si>
  <si>
    <t>ASHES</t>
  </si>
  <si>
    <t>OTHER</t>
  </si>
  <si>
    <t>MVS TYPE</t>
  </si>
  <si>
    <t>NO TREATMENT</t>
  </si>
  <si>
    <t>TREATMENT</t>
  </si>
  <si>
    <t>PERC</t>
  </si>
  <si>
    <t>&lt;1</t>
  </si>
  <si>
    <t>*5-60</t>
  </si>
  <si>
    <t>*5-120</t>
  </si>
  <si>
    <t>*121-240</t>
  </si>
  <si>
    <t>&gt;240</t>
  </si>
  <si>
    <t>*1-&lt;5</t>
  </si>
  <si>
    <t>*5-240</t>
  </si>
  <si>
    <t>HR</t>
  </si>
  <si>
    <t>*61-240</t>
  </si>
  <si>
    <t>Treatment</t>
  </si>
  <si>
    <t>MVS type</t>
  </si>
  <si>
    <t>Perc</t>
  </si>
  <si>
    <t>YA</t>
  </si>
  <si>
    <t>YHR</t>
  </si>
  <si>
    <t>YO</t>
  </si>
  <si>
    <t>TREAT</t>
  </si>
  <si>
    <t>Restriction Enter "A"=Ashes,"HR"=Rock,"O"=Other:</t>
  </si>
  <si>
    <t>Calculated trench bottom location - 0 + grade:</t>
  </si>
  <si>
    <t>Calculated required trench bottom elevation:</t>
  </si>
  <si>
    <t>ASHES &lt; 6" .57(8)(c) or HR&lt;12" .57(8)(d) require treatment</t>
  </si>
  <si>
    <t>&gt;1200 gpd High-strength or &gt;4,000 gpd require treatment</t>
  </si>
  <si>
    <t>TYPE dropdown</t>
  </si>
  <si>
    <t>H1</t>
  </si>
  <si>
    <t>H2</t>
  </si>
  <si>
    <t>Minimum cover above product/aggregate=</t>
  </si>
  <si>
    <t>H3</t>
  </si>
  <si>
    <t>H4</t>
  </si>
  <si>
    <t>Minimum calculated fill needed above grade=</t>
  </si>
  <si>
    <r>
      <t xml:space="preserve">Plot plan </t>
    </r>
    <r>
      <rPr>
        <sz val="10"/>
        <color indexed="17"/>
        <rFont val="Arial"/>
        <family val="2"/>
      </rPr>
      <t>___</t>
    </r>
    <r>
      <rPr>
        <sz val="10"/>
        <color indexed="10"/>
        <rFont val="Arial"/>
        <family val="2"/>
      </rPr>
      <t>each line must be &lt;=100' in length</t>
    </r>
    <r>
      <rPr>
        <sz val="10"/>
        <color indexed="17"/>
        <rFont val="Arial"/>
        <family val="2"/>
      </rPr>
      <t>;___</t>
    </r>
    <r>
      <rPr>
        <sz val="10"/>
        <color indexed="10"/>
        <rFont val="Arial"/>
        <family val="2"/>
      </rPr>
      <t>pre-treatment design based on non-treated layout</t>
    </r>
  </si>
  <si>
    <t>Perc Rate from Sheet AppData:</t>
  </si>
  <si>
    <t xml:space="preserve">SOIL GROUP U.S.D.A. Textural Classifications </t>
  </si>
  <si>
    <t>Table 10</t>
  </si>
  <si>
    <t>Table 11</t>
  </si>
  <si>
    <t>Group II Sandy Loam, Loam</t>
  </si>
  <si>
    <t xml:space="preserve">Group I Sand, Loamy Sand   </t>
  </si>
  <si>
    <t>Sand</t>
  </si>
  <si>
    <t>Sandy Loam</t>
  </si>
  <si>
    <t>Sandy Clay Loam</t>
  </si>
  <si>
    <t>Medium Sand</t>
  </si>
  <si>
    <t>Group I</t>
  </si>
  <si>
    <t>Group 2</t>
  </si>
  <si>
    <t>Group 3</t>
  </si>
  <si>
    <t>Group 4</t>
  </si>
  <si>
    <t>Group 5</t>
  </si>
  <si>
    <t>Soil Group</t>
  </si>
  <si>
    <t>Perc Rate min/inch</t>
  </si>
  <si>
    <t>Loading Rate gpd/sq.ft.</t>
  </si>
  <si>
    <t>Table 12</t>
  </si>
  <si>
    <t>Basal Area Infiltration Rates for Controlled Fill Systems</t>
  </si>
  <si>
    <t>2/secondary Loading Rate gpd/sq.ft.</t>
  </si>
  <si>
    <t>treatment</t>
  </si>
  <si>
    <t>Using Small Diameter, LPP</t>
  </si>
  <si>
    <t>Table 13a</t>
  </si>
  <si>
    <t>EDF* REDUCTION Controlled Fill piping other than Drip/LPP Receiving Effluent TREATED to Secondary                                         For Trenches Only</t>
  </si>
  <si>
    <t>Fill Material Loading Rate for Controlled Fill Systems  Using LPP</t>
  </si>
  <si>
    <t>Untreated gpd/sq.ft</t>
  </si>
  <si>
    <t>Treated gpd/sq.ft.</t>
  </si>
  <si>
    <t>Table 13</t>
  </si>
  <si>
    <t>Using Small Diameter, Low Pressure Pipe (LPP)</t>
  </si>
  <si>
    <t>Used for basal area calculations (use 12" aggregate depth+12" cover+any MVS above grade for mound height).</t>
  </si>
  <si>
    <t>:1</t>
  </si>
  <si>
    <t>Pre-Treatment Proposed (Y/N)?</t>
  </si>
  <si>
    <t>Pre-Treatment Required (Y/N)?</t>
  </si>
  <si>
    <t>Selected product height=</t>
  </si>
  <si>
    <t>Reduction pipe used? (Y/N):</t>
  </si>
  <si>
    <t>TB Elevation + Product Height + 12" cover</t>
  </si>
  <si>
    <t>Not &lt;12"</t>
  </si>
  <si>
    <t xml:space="preserve">  *record as "0" or negative number [EX: ASHES/Rock @ 2" below ground surface = -2; @ surface = 0]</t>
  </si>
  <si>
    <t>ASHES or ROCK = [see next row]*</t>
  </si>
  <si>
    <t>BED (Fill) HEIGHT (above TB)</t>
  </si>
  <si>
    <t>[MIN] WITH REDUCTION PIPE; BUT TOTAL MUST = OR &gt; C107 (Bed [fill] Height/12) x Slope Run</t>
  </si>
  <si>
    <t>lateral choice [156 or 157]</t>
  </si>
  <si>
    <t xml:space="preserve">header choice [156 or 157] </t>
  </si>
  <si>
    <t xml:space="preserve">Minimum # Laterals </t>
  </si>
  <si>
    <t xml:space="preserve">Other </t>
  </si>
  <si>
    <t>Product</t>
  </si>
  <si>
    <t>12" gravel</t>
  </si>
  <si>
    <t xml:space="preserve">  HEADERS:                                            </t>
  </si>
  <si>
    <t xml:space="preserve">       Single Header Length  </t>
  </si>
  <si>
    <t>Ln. Ft.</t>
  </si>
  <si>
    <t xml:space="preserve">    Distribution Width   </t>
  </si>
  <si>
    <t xml:space="preserve">    Distribution Area </t>
  </si>
  <si>
    <t xml:space="preserve">    Absorption Length  </t>
  </si>
  <si>
    <t xml:space="preserve">    Absorption Width  </t>
  </si>
  <si>
    <t xml:space="preserve">    Absorption Area </t>
  </si>
  <si>
    <t>Decrease % side/end slopes from 33% [3:1] to allow longer runs. (i.e. 25% [4:1] or 20% [5:1, etc.]</t>
  </si>
  <si>
    <t>Minimum # Laterals Recommended</t>
  </si>
  <si>
    <t>What if scenario</t>
  </si>
  <si>
    <t>Actual # Laterals proposed on plan</t>
  </si>
  <si>
    <t>TOTAL (pipe) sq.ft. minimum =</t>
  </si>
  <si>
    <t>Sq.ft. gravel needed</t>
  </si>
  <si>
    <t xml:space="preserve">With Selected Product OTHER than 12" gravel w/4" pipe. </t>
  </si>
  <si>
    <t>Single Solid Header Length (width of DA)=</t>
  </si>
  <si>
    <t># of Perforated Header/Footer Trenches</t>
  </si>
  <si>
    <t>Perf Header(s) disposal length (width of DA)=</t>
  </si>
  <si>
    <t>(#Trenches x Trench width) + 5' between trenches</t>
  </si>
  <si>
    <t>Y/N dropdown</t>
  </si>
  <si>
    <t>Total square feet gravel:</t>
  </si>
  <si>
    <t>Ln.ft.</t>
  </si>
  <si>
    <t>Linear Ft</t>
  </si>
  <si>
    <t xml:space="preserve">    Length of Header = width of DA = (trench(s) width + 5 ft spacing(s))                                         </t>
  </si>
  <si>
    <t>LF</t>
  </si>
  <si>
    <t>L In.</t>
  </si>
  <si>
    <t>12 in. Deep Gravel w/4 in. pipe</t>
  </si>
  <si>
    <t>24 in. Deep Gravel w/4 in. pipe</t>
  </si>
  <si>
    <t>LF 36" Trench</t>
  </si>
  <si>
    <t>Units</t>
  </si>
  <si>
    <t>LF with</t>
  </si>
  <si>
    <t>Min. 195 sq.ft. perc &lt;10 mpi</t>
  </si>
  <si>
    <t>No Reduc</t>
  </si>
  <si>
    <t>When reduction piping is used in a 3' trench. If trench is smaller, enter correct width in cell C21 [Row D]</t>
  </si>
  <si>
    <t>in.</t>
  </si>
  <si>
    <t xml:space="preserve">    Distribution Length  (Lat len + Perf Head/Foot width)</t>
  </si>
  <si>
    <t xml:space="preserve">(# of disposal lines x Trench width) + (# of disposal lines-1 x 5') </t>
  </si>
  <si>
    <r>
      <t xml:space="preserve">LATERALS:                                     Total Linear Feet:  </t>
    </r>
    <r>
      <rPr>
        <b/>
        <sz val="11"/>
        <color indexed="61"/>
        <rFont val="Arial"/>
        <family val="2"/>
      </rPr>
      <t xml:space="preserve"> </t>
    </r>
  </si>
  <si>
    <t>OVERCOMING SHALLOW DEPTH TO RESTRICTION</t>
  </si>
  <si>
    <t>Printed Report</t>
  </si>
  <si>
    <t>B/R</t>
  </si>
  <si>
    <t>Type restriction (A,HR,O)</t>
  </si>
  <si>
    <t>enter "A" for Ashes, "HR" for Hard Rock, "O" for Other</t>
  </si>
  <si>
    <t>C1</t>
  </si>
  <si>
    <t>[see next row]</t>
  </si>
  <si>
    <t>record as "0" or negative number [EX: ASHES, ROCK or OTHER @ 2" = -2; @ surface = 0]</t>
  </si>
  <si>
    <t xml:space="preserve">maximum BA Loading Rate of  0.075 GPD/FT2 </t>
  </si>
  <si>
    <t>Pre-Treatment Proposed? Y/N</t>
  </si>
  <si>
    <t>Pre-Treatment Required? Y/N</t>
  </si>
  <si>
    <t>Minimum Vertical Setback (MVS)</t>
  </si>
  <si>
    <t>Minimum Trench bottom (TB) elevation</t>
  </si>
  <si>
    <t>mvs - depth to restriction (If above grade must be minimum 6" above grade)</t>
  </si>
  <si>
    <t>Minimum fill above grade</t>
  </si>
  <si>
    <t>TB + 12" aggregate + 12" backfill cover</t>
  </si>
  <si>
    <t>Plot plan (see .67(1)(b)7.)</t>
  </si>
  <si>
    <t>THEN, fill in correction factors from Table4a</t>
  </si>
  <si>
    <r>
      <t>Downslope</t>
    </r>
    <r>
      <rPr>
        <sz val="10"/>
        <rFont val="Arial"/>
        <family val="2"/>
      </rPr>
      <t xml:space="preserve"> Correction Factor =</t>
    </r>
  </si>
  <si>
    <r>
      <t>Upslope</t>
    </r>
    <r>
      <rPr>
        <sz val="10"/>
        <rFont val="Arial"/>
        <family val="2"/>
      </rPr>
      <t xml:space="preserve"> Correction Factor = </t>
    </r>
  </si>
  <si>
    <t xml:space="preserve">     Upslope side = </t>
  </si>
  <si>
    <t xml:space="preserve">     Downslope side =</t>
  </si>
  <si>
    <t>Linear Loading Rate (LLR) =</t>
  </si>
  <si>
    <t xml:space="preserve">STEP 2 - Calculate Height of Fill </t>
  </si>
  <si>
    <r>
      <t xml:space="preserve">CF Bed Height on </t>
    </r>
    <r>
      <rPr>
        <b/>
        <sz val="10"/>
        <rFont val="Arial"/>
        <family val="0"/>
      </rPr>
      <t>Level Lot</t>
    </r>
    <r>
      <rPr>
        <sz val="10"/>
        <rFont val="Arial"/>
        <family val="0"/>
      </rPr>
      <t xml:space="preserve"> =</t>
    </r>
  </si>
  <si>
    <r>
      <t>Upslope</t>
    </r>
    <r>
      <rPr>
        <sz val="10"/>
        <rFont val="Arial"/>
        <family val="0"/>
      </rPr>
      <t xml:space="preserve"> height on </t>
    </r>
    <r>
      <rPr>
        <b/>
        <sz val="10"/>
        <rFont val="Arial"/>
        <family val="0"/>
      </rPr>
      <t>Sloping Lot</t>
    </r>
    <r>
      <rPr>
        <sz val="10"/>
        <rFont val="Arial"/>
        <family val="0"/>
      </rPr>
      <t xml:space="preserve"> =</t>
    </r>
  </si>
  <si>
    <r>
      <t>Downslope</t>
    </r>
    <r>
      <rPr>
        <sz val="10"/>
        <rFont val="Arial"/>
        <family val="0"/>
      </rPr>
      <t xml:space="preserve"> height on </t>
    </r>
    <r>
      <rPr>
        <b/>
        <sz val="10"/>
        <rFont val="Arial"/>
        <family val="0"/>
      </rPr>
      <t>Sloping Lot</t>
    </r>
    <r>
      <rPr>
        <sz val="10"/>
        <rFont val="Arial"/>
        <family val="0"/>
      </rPr>
      <t xml:space="preserve"> =</t>
    </r>
  </si>
  <si>
    <t>:1 Adjust side &amp; end slope to increase basal area for Soil Loading Rate Method</t>
  </si>
  <si>
    <t>Basal Length:</t>
  </si>
  <si>
    <t>Basal Width:</t>
  </si>
  <si>
    <t>Total Basal Area:</t>
  </si>
  <si>
    <t>ROW 88 Adjustments for BA Loading rate method</t>
  </si>
  <si>
    <t>Adjusted</t>
  </si>
  <si>
    <t>AREA</t>
  </si>
  <si>
    <t>Select Product from "Products" Sheet Table by placing "X" by the product (select only 1 product)</t>
  </si>
  <si>
    <r>
      <t xml:space="preserve">Enter: </t>
    </r>
    <r>
      <rPr>
        <b/>
        <u val="single"/>
        <sz val="8"/>
        <rFont val="Arial"/>
        <family val="2"/>
      </rPr>
      <t>A</t>
    </r>
    <r>
      <rPr>
        <sz val="8"/>
        <rFont val="Arial"/>
        <family val="0"/>
      </rPr>
      <t xml:space="preserve">shes, </t>
    </r>
    <r>
      <rPr>
        <b/>
        <u val="single"/>
        <sz val="8"/>
        <rFont val="Arial"/>
        <family val="2"/>
      </rPr>
      <t>H</t>
    </r>
    <r>
      <rPr>
        <sz val="8"/>
        <rFont val="Arial"/>
        <family val="0"/>
      </rPr>
      <t xml:space="preserve">ard </t>
    </r>
    <r>
      <rPr>
        <b/>
        <u val="single"/>
        <sz val="8"/>
        <rFont val="Arial"/>
        <family val="2"/>
      </rPr>
      <t>R</t>
    </r>
    <r>
      <rPr>
        <sz val="8"/>
        <rFont val="Arial"/>
        <family val="0"/>
      </rPr>
      <t xml:space="preserve">ock, </t>
    </r>
    <r>
      <rPr>
        <b/>
        <u val="single"/>
        <sz val="8"/>
        <rFont val="Arial"/>
        <family val="2"/>
      </rPr>
      <t>O</t>
    </r>
    <r>
      <rPr>
        <sz val="8"/>
        <rFont val="Arial"/>
        <family val="0"/>
      </rPr>
      <t xml:space="preserve">ther (dense/brittle layers, slowly/very slowly permerable parent material, continuous weatherd rock layers (Cr), &gt;50% consolidated bedrock) </t>
    </r>
  </si>
  <si>
    <t>Where trench bottom is &gt;0"-6" above grade, trench bottom must be placed at +6" minimum.</t>
  </si>
  <si>
    <t>Version 03/24/2008</t>
  </si>
  <si>
    <t>and enter Total Project Sq.Ft. needed here:</t>
  </si>
  <si>
    <t xml:space="preserve">*For other than dwellings enter zero (0) @ # of Bedrooms in cell C4, </t>
  </si>
  <si>
    <t>#edf laterals shown-1 x 8</t>
  </si>
  <si>
    <t>lf min / 100</t>
  </si>
  <si>
    <t>lf min / 100 rouned up = # trenches min needed</t>
  </si>
  <si>
    <t>????</t>
  </si>
  <si>
    <t>#perf+#npef headers x header length</t>
  </si>
  <si>
    <t>#perf header x min#edf laterals shown-1x 8</t>
  </si>
  <si>
    <t>(lf min pipe-required of NPT)/suggested</t>
  </si>
  <si>
    <t>(# solid header -3 perf header)/#edf laterals shown</t>
  </si>
  <si>
    <t>3- INITIAL PIPE CALCULATIONS [SEE Q2 at C75 for TOTAL AMOUNT]</t>
  </si>
  <si>
    <t>Shown in cell B28</t>
  </si>
  <si>
    <t>SEE CELLS S 77 THRU S 115 WHEN REDUCTION PIPING USED</t>
  </si>
  <si>
    <t>based on 4"pipe &amp; gravel standard (SEE Rules Table 2)</t>
  </si>
  <si>
    <t>Combined Total Lateral Length =</t>
  </si>
  <si>
    <t xml:space="preserve">Disposal Line Length + (1/2 of trench headers) </t>
  </si>
  <si>
    <t>6-CALCULATE DISTRIBUTION AREA (DA)</t>
  </si>
  <si>
    <t xml:space="preserve">7- CALCULATE ABSORPTION AREA (AA)  </t>
  </si>
  <si>
    <t>8-CALCULATE BASAL AREA (BA)</t>
  </si>
  <si>
    <t>Sizing Pre Treatment</t>
  </si>
  <si>
    <t>ft</t>
  </si>
  <si>
    <t xml:space="preserve">Sq.Ft. </t>
  </si>
  <si>
    <t>lines</t>
  </si>
  <si>
    <t>ft.</t>
  </si>
  <si>
    <t>Sizing No PreTreatment based on 3' trenches</t>
  </si>
  <si>
    <t>Header Length (Minimum # lines) - calculated</t>
  </si>
  <si>
    <t>ft.DA wide</t>
  </si>
  <si>
    <t>ft.DA long</t>
  </si>
  <si>
    <t>Distribution Area (DA) Calculations</t>
  </si>
  <si>
    <t>Absorption Area (AA) Calculations</t>
  </si>
  <si>
    <t>Area</t>
  </si>
  <si>
    <t>Basal Area (BA) Calculations</t>
  </si>
  <si>
    <t>Determine 3:1 slope base</t>
  </si>
  <si>
    <t xml:space="preserve">     Fill height above grade (top of slope)</t>
  </si>
  <si>
    <t xml:space="preserve">     Slope base = 3 x height</t>
  </si>
  <si>
    <t xml:space="preserve">     Convert to feet x slope each side (2)</t>
  </si>
  <si>
    <t>BA Length</t>
  </si>
  <si>
    <t>BA Width</t>
  </si>
  <si>
    <t>BA Area</t>
  </si>
  <si>
    <t>Basal Area (BA) Calculations Treatment</t>
  </si>
  <si>
    <t>Distribution Area (DA) Pretreated Calculations Treatment</t>
  </si>
  <si>
    <t xml:space="preserve">    Convert to feet x slope each side &amp; end (2)</t>
  </si>
  <si>
    <t xml:space="preserve">    Slope base = 3 x height</t>
  </si>
  <si>
    <t xml:space="preserve">    Fill height above grade (top of slope)</t>
  </si>
  <si>
    <t>C37-1 (minimum # EDF laterals-1)</t>
  </si>
  <si>
    <t>C37-2 (PT proposed vs NPT)</t>
  </si>
  <si>
    <t>Fill Height</t>
  </si>
  <si>
    <t>Treated BOT:</t>
  </si>
  <si>
    <t>CONVENTIONAL GRAVEL TRENCH CALCULATIONS</t>
  </si>
  <si>
    <t>min#edf laterals calculated-1 x 8</t>
  </si>
  <si>
    <t>min#edf laterals (c145) calculated-1 x 8</t>
  </si>
  <si>
    <t>Trench width for BA calc. (PT=3')</t>
  </si>
  <si>
    <t>Absorption Area (AA) Calculations Treatment</t>
  </si>
  <si>
    <t xml:space="preserve"># lines deduct for PH &gt;100' </t>
  </si>
  <si>
    <t>Header Length (Min. # lines) Less PH</t>
  </si>
  <si>
    <t>Total Perforated Headers (PH)</t>
  </si>
  <si>
    <t>Actual # lines per plans</t>
  </si>
  <si>
    <r>
      <t xml:space="preserve">Length of </t>
    </r>
    <r>
      <rPr>
        <b/>
        <sz val="10"/>
        <color indexed="17"/>
        <rFont val="Arial"/>
        <family val="2"/>
      </rPr>
      <t>EDF</t>
    </r>
    <r>
      <rPr>
        <sz val="10"/>
        <rFont val="Arial"/>
        <family val="0"/>
      </rPr>
      <t xml:space="preserve"> laterals </t>
    </r>
    <r>
      <rPr>
        <b/>
        <sz val="10"/>
        <color indexed="17"/>
        <rFont val="Arial"/>
        <family val="2"/>
      </rPr>
      <t>shown</t>
    </r>
    <r>
      <rPr>
        <sz val="10"/>
        <rFont val="Arial"/>
        <family val="0"/>
      </rPr>
      <t xml:space="preserve"> =</t>
    </r>
  </si>
  <si>
    <t xml:space="preserve">L.F. </t>
  </si>
  <si>
    <t>Plot plan</t>
  </si>
  <si>
    <t xml:space="preserve">  Calculated Total Ln.Ft.plot plan(+PH)=</t>
  </si>
  <si>
    <t>Linear Feet Required (Reduc. other) =</t>
  </si>
  <si>
    <t># of disposal laterals from plan =</t>
  </si>
  <si>
    <t>Based on Minimums</t>
  </si>
  <si>
    <t xml:space="preserve"> Lateral Length Calculated</t>
  </si>
  <si>
    <t>Actual Lateral length proposed on plan</t>
  </si>
  <si>
    <t xml:space="preserve">       Total Perforated Header Length    </t>
  </si>
  <si>
    <t xml:space="preserve">       TOTAL LN FT + PH</t>
  </si>
  <si>
    <r>
      <t xml:space="preserve">    </t>
    </r>
    <r>
      <rPr>
        <sz val="10"/>
        <rFont val="Arial"/>
        <family val="2"/>
      </rPr>
      <t xml:space="preserve"># of Perforated Headers </t>
    </r>
    <r>
      <rPr>
        <i/>
        <sz val="10"/>
        <rFont val="Arial"/>
        <family val="2"/>
      </rPr>
      <t>(from C36)</t>
    </r>
  </si>
  <si>
    <r>
      <t xml:space="preserve">    Width of Header Trench(es) </t>
    </r>
    <r>
      <rPr>
        <i/>
        <sz val="10"/>
        <rFont val="Arial"/>
        <family val="2"/>
      </rPr>
      <t>(from C21)</t>
    </r>
  </si>
  <si>
    <t>:1 on end slopes (length)</t>
  </si>
  <si>
    <t>:1 on side slopes (width)</t>
  </si>
  <si>
    <t>Required fill above grade for product (C51):</t>
  </si>
  <si>
    <t>Cell C35 Plot Plan; Show "0", "1" or "2"</t>
  </si>
  <si>
    <t>Cell C36 Plot Plan; Show "0", "1" or "2"</t>
  </si>
  <si>
    <t xml:space="preserve">           for pre-treatment design must be based on BA for non-treated design [i.e., 5 EDF laterals]</t>
  </si>
  <si>
    <r>
      <t xml:space="preserve">           even if</t>
    </r>
    <r>
      <rPr>
        <sz val="10"/>
        <color indexed="17"/>
        <rFont val="Arial"/>
        <family val="2"/>
      </rPr>
      <t xml:space="preserve"> a smaller number of laterals is used.</t>
    </r>
  </si>
  <si>
    <t>Header Length (Min.# lines) - calculated</t>
  </si>
  <si>
    <t>Header Length (Min # lines) - calculated</t>
  </si>
  <si>
    <t>Note: Actual DA width based on actual calculated Header Length from actual number of lines</t>
  </si>
  <si>
    <t>&lt;-|</t>
  </si>
  <si>
    <t xml:space="preserve">   |</t>
  </si>
  <si>
    <t>Header Length (Min. # lines) Less PH&gt;100'</t>
  </si>
  <si>
    <t># perforated headers x header pipe length</t>
  </si>
  <si>
    <t>Actual Plans LF(includes PH)=</t>
  </si>
  <si>
    <t>BA Width-AA width</t>
  </si>
  <si>
    <t>Fill height in. to ft.</t>
  </si>
  <si>
    <t>BA width side slope=</t>
  </si>
  <si>
    <t>BA Length side slope=</t>
  </si>
  <si>
    <t>BA Length-AA Length</t>
  </si>
  <si>
    <t>Side slope decrease from 3:1 to effect minimum BA</t>
  </si>
  <si>
    <t>L.F. (Pre-treatment)(min. pipe)=</t>
  </si>
  <si>
    <t xml:space="preserve">See C-52 &amp; C-53 above for length of each end(s) and side(s) </t>
  </si>
  <si>
    <t>AA width + side slopes [based on no pre-treatment]</t>
  </si>
  <si>
    <t>per side and end     (Bed [fill] Height/12) x Slope Run</t>
  </si>
  <si>
    <t>Infiltrator Quick 4 Equalizer 24</t>
  </si>
  <si>
    <t>Infiltrator Two-Wide Quick 4  Equalizer 24</t>
  </si>
  <si>
    <t>Infiltrator Quick 4 Equalizer 24 LP</t>
  </si>
  <si>
    <t>Infiltrator Two-Wide Quick 4 Equalizer 24 LP</t>
  </si>
  <si>
    <t>Infiltrator Quick 4 Plus Standard</t>
  </si>
  <si>
    <t>Infiltrator Quick 4 Plus Standard Low Profile</t>
  </si>
  <si>
    <t>This is required only for Establishments</t>
  </si>
  <si>
    <t>Prefab Poly Gravel - PGS 1221-H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</si>
</sst>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8">
    <font>
      <sz val="10"/>
      <name val="Arial"/>
      <family val="0"/>
    </font>
    <font>
      <sz val="8"/>
      <name val="Arial"/>
      <family val="0"/>
    </font>
    <font>
      <b/>
      <u val="single"/>
      <sz val="14"/>
      <name val="Baskerville Old Face"/>
      <family val="1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color indexed="12"/>
      <name val="Baskerville Old Face"/>
      <family val="0"/>
    </font>
    <font>
      <u val="single"/>
      <sz val="9"/>
      <name val="Arial"/>
      <family val="0"/>
    </font>
    <font>
      <u val="single"/>
      <sz val="10"/>
      <name val="Arial"/>
      <family val="0"/>
    </font>
    <font>
      <b/>
      <sz val="8"/>
      <color indexed="53"/>
      <name val="Arial"/>
      <family val="2"/>
    </font>
    <font>
      <b/>
      <u val="single"/>
      <sz val="9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b/>
      <sz val="14"/>
      <name val="Arial"/>
      <family val="2"/>
    </font>
    <font>
      <b/>
      <sz val="11"/>
      <color indexed="61"/>
      <name val="Arial"/>
      <family val="2"/>
    </font>
    <font>
      <b/>
      <sz val="11"/>
      <color indexed="40"/>
      <name val="Arial"/>
      <family val="2"/>
    </font>
    <font>
      <sz val="10"/>
      <color indexed="61"/>
      <name val="Arial"/>
      <family val="2"/>
    </font>
    <font>
      <b/>
      <sz val="10"/>
      <color indexed="40"/>
      <name val="Arial"/>
      <family val="2"/>
    </font>
    <font>
      <b/>
      <sz val="10"/>
      <color indexed="52"/>
      <name val="Arial"/>
      <family val="2"/>
    </font>
    <font>
      <b/>
      <sz val="8"/>
      <color indexed="12"/>
      <name val="Arial"/>
      <family val="2"/>
    </font>
    <font>
      <b/>
      <u val="single"/>
      <sz val="10"/>
      <color indexed="10"/>
      <name val="Arial"/>
      <family val="2"/>
    </font>
    <font>
      <sz val="9"/>
      <color indexed="53"/>
      <name val="Arial"/>
      <family val="0"/>
    </font>
    <font>
      <b/>
      <sz val="10"/>
      <color indexed="51"/>
      <name val="Arial"/>
      <family val="2"/>
    </font>
    <font>
      <b/>
      <u val="single"/>
      <sz val="12"/>
      <color indexed="10"/>
      <name val="Arial"/>
      <family val="2"/>
    </font>
    <font>
      <sz val="10"/>
      <color indexed="9"/>
      <name val="Arial"/>
      <family val="0"/>
    </font>
    <font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7"/>
      <name val="Arial"/>
      <family val="2"/>
    </font>
    <font>
      <b/>
      <sz val="11"/>
      <color indexed="10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sz val="10"/>
      <color indexed="4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8" fillId="34" borderId="0" xfId="0" applyFont="1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 horizontal="centerContinuous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36" borderId="0" xfId="0" applyFont="1" applyFill="1" applyAlignment="1">
      <alignment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0" xfId="0" applyAlignment="1">
      <alignment horizontal="left"/>
    </xf>
    <xf numFmtId="0" fontId="0" fillId="37" borderId="0" xfId="0" applyFill="1" applyAlignment="1">
      <alignment/>
    </xf>
    <xf numFmtId="0" fontId="11" fillId="0" borderId="0" xfId="0" applyFont="1" applyAlignment="1">
      <alignment/>
    </xf>
    <xf numFmtId="0" fontId="15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Alignment="1">
      <alignment horizontal="right"/>
    </xf>
    <xf numFmtId="0" fontId="0" fillId="0" borderId="13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2" xfId="0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20" xfId="0" applyFill="1" applyBorder="1" applyAlignment="1">
      <alignment/>
    </xf>
    <xf numFmtId="0" fontId="0" fillId="39" borderId="0" xfId="0" applyFill="1" applyAlignment="1">
      <alignment/>
    </xf>
    <xf numFmtId="0" fontId="16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4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37" borderId="11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64" fontId="0" fillId="41" borderId="11" xfId="0" applyNumberForma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9" fillId="37" borderId="0" xfId="0" applyFont="1" applyFill="1" applyAlignment="1">
      <alignment/>
    </xf>
    <xf numFmtId="0" fontId="9" fillId="41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21" fillId="39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65" fontId="0" fillId="37" borderId="10" xfId="0" applyNumberForma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38" borderId="0" xfId="0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44" borderId="0" xfId="0" applyFill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43" borderId="11" xfId="0" applyFill="1" applyBorder="1" applyAlignment="1" applyProtection="1">
      <alignment horizontal="center"/>
      <protection locked="0"/>
    </xf>
    <xf numFmtId="0" fontId="0" fillId="43" borderId="11" xfId="0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64" fontId="0" fillId="41" borderId="0" xfId="0" applyNumberFormat="1" applyFill="1" applyAlignment="1">
      <alignment horizontal="center"/>
    </xf>
    <xf numFmtId="0" fontId="0" fillId="41" borderId="0" xfId="0" applyFill="1" applyAlignment="1">
      <alignment horizontal="center"/>
    </xf>
    <xf numFmtId="0" fontId="0" fillId="45" borderId="0" xfId="0" applyFill="1" applyAlignment="1">
      <alignment/>
    </xf>
    <xf numFmtId="0" fontId="26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43" borderId="11" xfId="0" applyFill="1" applyBorder="1" applyAlignment="1" applyProtection="1">
      <alignment/>
      <protection/>
    </xf>
    <xf numFmtId="0" fontId="4" fillId="37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42" borderId="12" xfId="0" applyFill="1" applyBorder="1" applyAlignment="1">
      <alignment/>
    </xf>
    <xf numFmtId="0" fontId="15" fillId="42" borderId="0" xfId="0" applyFont="1" applyFill="1" applyAlignment="1">
      <alignment/>
    </xf>
    <xf numFmtId="0" fontId="0" fillId="42" borderId="15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8" xfId="0" applyFill="1" applyBorder="1" applyAlignment="1">
      <alignment/>
    </xf>
    <xf numFmtId="0" fontId="0" fillId="42" borderId="19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20" xfId="0" applyFill="1" applyBorder="1" applyAlignment="1">
      <alignment/>
    </xf>
    <xf numFmtId="0" fontId="4" fillId="37" borderId="0" xfId="0" applyFont="1" applyFill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28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29" xfId="0" applyFill="1" applyBorder="1" applyAlignment="1">
      <alignment/>
    </xf>
    <xf numFmtId="0" fontId="0" fillId="42" borderId="25" xfId="0" applyFill="1" applyBorder="1" applyAlignment="1">
      <alignment/>
    </xf>
    <xf numFmtId="0" fontId="0" fillId="42" borderId="30" xfId="0" applyFill="1" applyBorder="1" applyAlignment="1">
      <alignment/>
    </xf>
    <xf numFmtId="0" fontId="0" fillId="42" borderId="26" xfId="0" applyFill="1" applyBorder="1" applyAlignment="1">
      <alignment/>
    </xf>
    <xf numFmtId="0" fontId="0" fillId="38" borderId="27" xfId="0" applyFill="1" applyBorder="1" applyAlignment="1">
      <alignment horizontal="center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46" borderId="0" xfId="0" applyFill="1" applyAlignment="1">
      <alignment/>
    </xf>
    <xf numFmtId="0" fontId="15" fillId="35" borderId="0" xfId="0" applyFont="1" applyFill="1" applyAlignment="1">
      <alignment/>
    </xf>
    <xf numFmtId="0" fontId="15" fillId="39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64" fontId="0" fillId="36" borderId="14" xfId="0" applyNumberFormat="1" applyFill="1" applyBorder="1" applyAlignment="1">
      <alignment/>
    </xf>
    <xf numFmtId="164" fontId="0" fillId="0" borderId="0" xfId="0" applyNumberFormat="1" applyAlignment="1">
      <alignment horizontal="left"/>
    </xf>
    <xf numFmtId="0" fontId="28" fillId="35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15" fillId="46" borderId="0" xfId="0" applyFont="1" applyFill="1" applyAlignment="1">
      <alignment/>
    </xf>
    <xf numFmtId="0" fontId="31" fillId="47" borderId="0" xfId="0" applyFont="1" applyFill="1" applyAlignment="1">
      <alignment/>
    </xf>
    <xf numFmtId="0" fontId="3" fillId="33" borderId="0" xfId="0" applyFont="1" applyFill="1" applyAlignment="1">
      <alignment/>
    </xf>
    <xf numFmtId="0" fontId="33" fillId="0" borderId="0" xfId="0" applyFont="1" applyAlignment="1">
      <alignment/>
    </xf>
    <xf numFmtId="164" fontId="0" fillId="42" borderId="14" xfId="0" applyNumberFormat="1" applyFill="1" applyBorder="1" applyAlignment="1">
      <alignment/>
    </xf>
    <xf numFmtId="164" fontId="0" fillId="38" borderId="14" xfId="0" applyNumberFormat="1" applyFill="1" applyBorder="1" applyAlignment="1">
      <alignment/>
    </xf>
    <xf numFmtId="0" fontId="35" fillId="0" borderId="0" xfId="0" applyFont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1" fillId="45" borderId="0" xfId="0" applyFont="1" applyFill="1" applyAlignment="1">
      <alignment/>
    </xf>
    <xf numFmtId="0" fontId="15" fillId="45" borderId="0" xfId="0" applyFont="1" applyFill="1" applyAlignment="1">
      <alignment/>
    </xf>
    <xf numFmtId="0" fontId="0" fillId="45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36" borderId="0" xfId="0" applyFill="1" applyAlignment="1" applyProtection="1">
      <alignment horizontal="right"/>
      <protection hidden="1"/>
    </xf>
    <xf numFmtId="0" fontId="0" fillId="36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164" fontId="0" fillId="33" borderId="0" xfId="0" applyNumberForma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8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49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locked="0"/>
    </xf>
    <xf numFmtId="164" fontId="0" fillId="33" borderId="11" xfId="0" applyNumberFormat="1" applyFill="1" applyBorder="1" applyAlignment="1" applyProtection="1">
      <alignment horizontal="center"/>
      <protection locked="0"/>
    </xf>
    <xf numFmtId="0" fontId="0" fillId="41" borderId="0" xfId="0" applyFill="1" applyAlignment="1">
      <alignment/>
    </xf>
    <xf numFmtId="0" fontId="3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43" borderId="0" xfId="0" applyFont="1" applyFill="1" applyAlignment="1">
      <alignment/>
    </xf>
    <xf numFmtId="0" fontId="0" fillId="50" borderId="11" xfId="0" applyFill="1" applyBorder="1" applyAlignment="1" applyProtection="1">
      <alignment/>
      <protection hidden="1"/>
    </xf>
    <xf numFmtId="0" fontId="0" fillId="50" borderId="10" xfId="0" applyFill="1" applyBorder="1" applyAlignment="1" applyProtection="1">
      <alignment/>
      <protection hidden="1"/>
    </xf>
    <xf numFmtId="0" fontId="0" fillId="50" borderId="10" xfId="0" applyFill="1" applyBorder="1" applyAlignment="1" applyProtection="1">
      <alignment horizontal="right"/>
      <protection hidden="1"/>
    </xf>
    <xf numFmtId="0" fontId="0" fillId="50" borderId="11" xfId="0" applyFill="1" applyBorder="1" applyAlignment="1" applyProtection="1">
      <alignment horizontal="right"/>
      <protection hidden="1"/>
    </xf>
    <xf numFmtId="0" fontId="0" fillId="43" borderId="11" xfId="0" applyFill="1" applyBorder="1" applyAlignment="1" applyProtection="1">
      <alignment horizontal="right"/>
      <protection hidden="1"/>
    </xf>
    <xf numFmtId="0" fontId="0" fillId="50" borderId="10" xfId="0" applyFont="1" applyFill="1" applyBorder="1" applyAlignment="1" applyProtection="1">
      <alignment/>
      <protection hidden="1"/>
    </xf>
    <xf numFmtId="1" fontId="0" fillId="50" borderId="0" xfId="0" applyNumberFormat="1" applyFill="1" applyAlignment="1" applyProtection="1">
      <alignment/>
      <protection hidden="1"/>
    </xf>
    <xf numFmtId="1" fontId="0" fillId="50" borderId="10" xfId="0" applyNumberFormat="1" applyFill="1" applyBorder="1" applyAlignment="1" applyProtection="1">
      <alignment/>
      <protection hidden="1"/>
    </xf>
    <xf numFmtId="0" fontId="0" fillId="47" borderId="11" xfId="0" applyFill="1" applyBorder="1" applyAlignment="1" applyProtection="1">
      <alignment/>
      <protection hidden="1"/>
    </xf>
    <xf numFmtId="0" fontId="0" fillId="50" borderId="0" xfId="0" applyFill="1" applyAlignment="1" applyProtection="1">
      <alignment/>
      <protection hidden="1"/>
    </xf>
    <xf numFmtId="0" fontId="0" fillId="50" borderId="0" xfId="0" applyFill="1" applyAlignment="1" applyProtection="1">
      <alignment horizontal="center"/>
      <protection hidden="1"/>
    </xf>
    <xf numFmtId="0" fontId="0" fillId="51" borderId="31" xfId="0" applyFont="1" applyFill="1" applyBorder="1" applyAlignment="1" applyProtection="1">
      <alignment horizontal="center"/>
      <protection hidden="1"/>
    </xf>
    <xf numFmtId="0" fontId="0" fillId="40" borderId="31" xfId="0" applyFill="1" applyBorder="1" applyAlignment="1" applyProtection="1">
      <alignment horizontal="center"/>
      <protection hidden="1"/>
    </xf>
    <xf numFmtId="0" fontId="0" fillId="51" borderId="31" xfId="0" applyFill="1" applyBorder="1" applyAlignment="1" applyProtection="1">
      <alignment horizontal="center"/>
      <protection hidden="1"/>
    </xf>
    <xf numFmtId="1" fontId="0" fillId="51" borderId="31" xfId="0" applyNumberFormat="1" applyFill="1" applyBorder="1" applyAlignment="1" applyProtection="1">
      <alignment horizontal="center"/>
      <protection hidden="1"/>
    </xf>
    <xf numFmtId="0" fontId="0" fillId="50" borderId="0" xfId="0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41" borderId="0" xfId="0" applyFont="1" applyFill="1" applyAlignment="1" applyProtection="1">
      <alignment/>
      <protection locked="0"/>
    </xf>
    <xf numFmtId="0" fontId="0" fillId="41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0" fillId="0" borderId="0" xfId="0" applyFont="1" applyFill="1" applyAlignment="1">
      <alignment/>
    </xf>
    <xf numFmtId="0" fontId="11" fillId="46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locked="0"/>
    </xf>
    <xf numFmtId="0" fontId="0" fillId="42" borderId="0" xfId="0" applyFill="1" applyAlignment="1" applyProtection="1">
      <alignment/>
      <protection locked="0"/>
    </xf>
    <xf numFmtId="0" fontId="0" fillId="46" borderId="0" xfId="0" applyFill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36" fillId="0" borderId="0" xfId="0" applyFont="1" applyAlignment="1">
      <alignment/>
    </xf>
    <xf numFmtId="0" fontId="41" fillId="0" borderId="0" xfId="0" applyFont="1" applyFill="1" applyAlignment="1">
      <alignment/>
    </xf>
    <xf numFmtId="0" fontId="0" fillId="43" borderId="11" xfId="0" applyFill="1" applyBorder="1" applyAlignment="1" applyProtection="1">
      <alignment/>
      <protection hidden="1"/>
    </xf>
    <xf numFmtId="0" fontId="15" fillId="50" borderId="0" xfId="0" applyFont="1" applyFill="1" applyAlignment="1">
      <alignment/>
    </xf>
    <xf numFmtId="0" fontId="15" fillId="46" borderId="0" xfId="0" applyFont="1" applyFill="1" applyAlignment="1">
      <alignment horizontal="center"/>
    </xf>
    <xf numFmtId="0" fontId="28" fillId="46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52" borderId="0" xfId="0" applyFill="1" applyAlignment="1">
      <alignment/>
    </xf>
    <xf numFmtId="0" fontId="8" fillId="52" borderId="32" xfId="0" applyFont="1" applyFill="1" applyBorder="1" applyAlignment="1">
      <alignment horizontal="center" wrapText="1"/>
    </xf>
    <xf numFmtId="0" fontId="8" fillId="52" borderId="24" xfId="0" applyFont="1" applyFill="1" applyBorder="1" applyAlignment="1">
      <alignment horizontal="center" wrapText="1"/>
    </xf>
    <xf numFmtId="0" fontId="8" fillId="52" borderId="33" xfId="0" applyFont="1" applyFill="1" applyBorder="1" applyAlignment="1">
      <alignment horizontal="center" wrapText="1"/>
    </xf>
    <xf numFmtId="0" fontId="8" fillId="52" borderId="29" xfId="0" applyFont="1" applyFill="1" applyBorder="1" applyAlignment="1">
      <alignment horizontal="center" wrapText="1"/>
    </xf>
    <xf numFmtId="0" fontId="18" fillId="52" borderId="29" xfId="0" applyFont="1" applyFill="1" applyBorder="1" applyAlignment="1">
      <alignment horizontal="center" wrapText="1"/>
    </xf>
    <xf numFmtId="0" fontId="15" fillId="37" borderId="23" xfId="0" applyFont="1" applyFill="1" applyBorder="1" applyAlignment="1">
      <alignment horizontal="center"/>
    </xf>
    <xf numFmtId="0" fontId="0" fillId="37" borderId="24" xfId="0" applyFill="1" applyBorder="1" applyAlignment="1">
      <alignment/>
    </xf>
    <xf numFmtId="0" fontId="0" fillId="53" borderId="0" xfId="0" applyFill="1" applyAlignment="1">
      <alignment/>
    </xf>
    <xf numFmtId="0" fontId="15" fillId="53" borderId="23" xfId="0" applyFont="1" applyFill="1" applyBorder="1" applyAlignment="1">
      <alignment horizontal="center"/>
    </xf>
    <xf numFmtId="0" fontId="0" fillId="53" borderId="24" xfId="0" applyFill="1" applyBorder="1" applyAlignment="1">
      <alignment/>
    </xf>
    <xf numFmtId="0" fontId="15" fillId="37" borderId="28" xfId="0" applyFont="1" applyFill="1" applyBorder="1" applyAlignment="1">
      <alignment horizontal="center"/>
    </xf>
    <xf numFmtId="0" fontId="0" fillId="37" borderId="29" xfId="0" applyFill="1" applyBorder="1" applyAlignment="1">
      <alignment/>
    </xf>
    <xf numFmtId="0" fontId="0" fillId="53" borderId="29" xfId="0" applyFill="1" applyBorder="1" applyAlignment="1">
      <alignment/>
    </xf>
    <xf numFmtId="0" fontId="0" fillId="52" borderId="33" xfId="0" applyFill="1" applyBorder="1" applyAlignment="1">
      <alignment wrapText="1"/>
    </xf>
    <xf numFmtId="0" fontId="15" fillId="53" borderId="25" xfId="0" applyFont="1" applyFill="1" applyBorder="1" applyAlignment="1">
      <alignment horizontal="center"/>
    </xf>
    <xf numFmtId="0" fontId="8" fillId="52" borderId="26" xfId="0" applyFont="1" applyFill="1" applyBorder="1" applyAlignment="1">
      <alignment horizontal="center" wrapText="1"/>
    </xf>
    <xf numFmtId="0" fontId="0" fillId="52" borderId="29" xfId="0" applyFill="1" applyBorder="1" applyAlignment="1">
      <alignment wrapText="1"/>
    </xf>
    <xf numFmtId="0" fontId="0" fillId="46" borderId="23" xfId="0" applyFill="1" applyBorder="1" applyAlignment="1">
      <alignment/>
    </xf>
    <xf numFmtId="0" fontId="0" fillId="46" borderId="27" xfId="0" applyFill="1" applyBorder="1" applyAlignment="1">
      <alignment/>
    </xf>
    <xf numFmtId="0" fontId="0" fillId="46" borderId="24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24" xfId="0" applyFill="1" applyBorder="1" applyAlignment="1">
      <alignment/>
    </xf>
    <xf numFmtId="0" fontId="0" fillId="53" borderId="23" xfId="0" applyFill="1" applyBorder="1" applyAlignment="1">
      <alignment/>
    </xf>
    <xf numFmtId="0" fontId="15" fillId="53" borderId="0" xfId="0" applyFont="1" applyFill="1" applyBorder="1" applyAlignment="1">
      <alignment/>
    </xf>
    <xf numFmtId="0" fontId="0" fillId="53" borderId="27" xfId="0" applyFill="1" applyBorder="1" applyAlignment="1">
      <alignment/>
    </xf>
    <xf numFmtId="0" fontId="0" fillId="53" borderId="24" xfId="0" applyFill="1" applyBorder="1" applyAlignment="1">
      <alignment/>
    </xf>
    <xf numFmtId="0" fontId="0" fillId="52" borderId="34" xfId="0" applyFill="1" applyBorder="1" applyAlignment="1">
      <alignment wrapText="1"/>
    </xf>
    <xf numFmtId="0" fontId="8" fillId="52" borderId="35" xfId="0" applyFont="1" applyFill="1" applyBorder="1" applyAlignment="1">
      <alignment horizontal="center" wrapText="1"/>
    </xf>
    <xf numFmtId="0" fontId="8" fillId="52" borderId="22" xfId="0" applyFont="1" applyFill="1" applyBorder="1" applyAlignment="1">
      <alignment horizontal="center" wrapText="1"/>
    </xf>
    <xf numFmtId="0" fontId="0" fillId="52" borderId="26" xfId="0" applyFill="1" applyBorder="1" applyAlignment="1">
      <alignment wrapText="1"/>
    </xf>
    <xf numFmtId="0" fontId="0" fillId="46" borderId="28" xfId="0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29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9" xfId="0" applyFill="1" applyBorder="1" applyAlignment="1">
      <alignment/>
    </xf>
    <xf numFmtId="0" fontId="0" fillId="53" borderId="28" xfId="0" applyFill="1" applyBorder="1" applyAlignment="1">
      <alignment/>
    </xf>
    <xf numFmtId="0" fontId="0" fillId="53" borderId="0" xfId="0" applyFill="1" applyBorder="1" applyAlignment="1">
      <alignment/>
    </xf>
    <xf numFmtId="0" fontId="0" fillId="53" borderId="29" xfId="0" applyFill="1" applyBorder="1" applyAlignment="1">
      <alignment/>
    </xf>
    <xf numFmtId="0" fontId="0" fillId="46" borderId="25" xfId="0" applyFill="1" applyBorder="1" applyAlignment="1">
      <alignment/>
    </xf>
    <xf numFmtId="0" fontId="0" fillId="46" borderId="30" xfId="0" applyFill="1" applyBorder="1" applyAlignment="1">
      <alignment/>
    </xf>
    <xf numFmtId="0" fontId="0" fillId="46" borderId="26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26" xfId="0" applyFill="1" applyBorder="1" applyAlignment="1">
      <alignment/>
    </xf>
    <xf numFmtId="0" fontId="15" fillId="46" borderId="23" xfId="0" applyFont="1" applyFill="1" applyBorder="1" applyAlignment="1">
      <alignment/>
    </xf>
    <xf numFmtId="0" fontId="15" fillId="46" borderId="27" xfId="0" applyFont="1" applyFill="1" applyBorder="1" applyAlignment="1">
      <alignment/>
    </xf>
    <xf numFmtId="9" fontId="0" fillId="46" borderId="0" xfId="0" applyNumberFormat="1" applyFill="1" applyBorder="1" applyAlignment="1">
      <alignment/>
    </xf>
    <xf numFmtId="0" fontId="15" fillId="37" borderId="23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53" borderId="28" xfId="0" applyFont="1" applyFill="1" applyBorder="1" applyAlignment="1">
      <alignment/>
    </xf>
    <xf numFmtId="0" fontId="15" fillId="46" borderId="0" xfId="0" applyFont="1" applyFill="1" applyBorder="1" applyAlignment="1">
      <alignment/>
    </xf>
    <xf numFmtId="0" fontId="0" fillId="37" borderId="33" xfId="0" applyFill="1" applyBorder="1" applyAlignment="1">
      <alignment wrapText="1"/>
    </xf>
    <xf numFmtId="0" fontId="8" fillId="37" borderId="29" xfId="0" applyFont="1" applyFill="1" applyBorder="1" applyAlignment="1">
      <alignment horizontal="center" wrapText="1"/>
    </xf>
    <xf numFmtId="1" fontId="8" fillId="37" borderId="33" xfId="0" applyNumberFormat="1" applyFont="1" applyFill="1" applyBorder="1" applyAlignment="1">
      <alignment horizontal="center" wrapText="1"/>
    </xf>
    <xf numFmtId="0" fontId="8" fillId="37" borderId="33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9" fontId="0" fillId="46" borderId="27" xfId="0" applyNumberForma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53" borderId="28" xfId="0" applyFont="1" applyFill="1" applyBorder="1" applyAlignment="1">
      <alignment/>
    </xf>
    <xf numFmtId="1" fontId="8" fillId="52" borderId="33" xfId="0" applyNumberFormat="1" applyFont="1" applyFill="1" applyBorder="1" applyAlignment="1">
      <alignment horizontal="center" wrapText="1"/>
    </xf>
    <xf numFmtId="0" fontId="15" fillId="37" borderId="27" xfId="0" applyFont="1" applyFill="1" applyBorder="1" applyAlignment="1">
      <alignment/>
    </xf>
    <xf numFmtId="2" fontId="0" fillId="37" borderId="27" xfId="0" applyNumberFormat="1" applyFill="1" applyBorder="1" applyAlignment="1">
      <alignment/>
    </xf>
    <xf numFmtId="0" fontId="15" fillId="53" borderId="23" xfId="0" applyFont="1" applyFill="1" applyBorder="1" applyAlignment="1">
      <alignment/>
    </xf>
    <xf numFmtId="0" fontId="15" fillId="53" borderId="27" xfId="0" applyFont="1" applyFill="1" applyBorder="1" applyAlignment="1">
      <alignment/>
    </xf>
    <xf numFmtId="2" fontId="0" fillId="53" borderId="27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2" fontId="0" fillId="53" borderId="0" xfId="0" applyNumberForma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3" xfId="0" applyFill="1" applyBorder="1" applyAlignment="1">
      <alignment/>
    </xf>
    <xf numFmtId="165" fontId="8" fillId="37" borderId="29" xfId="0" applyNumberFormat="1" applyFont="1" applyFill="1" applyBorder="1" applyAlignment="1">
      <alignment horizontal="center" wrapText="1"/>
    </xf>
    <xf numFmtId="0" fontId="0" fillId="53" borderId="25" xfId="0" applyFill="1" applyBorder="1" applyAlignment="1">
      <alignment/>
    </xf>
    <xf numFmtId="0" fontId="0" fillId="53" borderId="30" xfId="0" applyFill="1" applyBorder="1" applyAlignment="1">
      <alignment/>
    </xf>
    <xf numFmtId="2" fontId="0" fillId="53" borderId="30" xfId="0" applyNumberFormat="1" applyFill="1" applyBorder="1" applyAlignment="1">
      <alignment/>
    </xf>
    <xf numFmtId="0" fontId="0" fillId="53" borderId="26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38" xfId="0" applyFill="1" applyBorder="1" applyAlignment="1">
      <alignment/>
    </xf>
    <xf numFmtId="2" fontId="0" fillId="53" borderId="0" xfId="0" applyNumberFormat="1" applyFill="1" applyAlignment="1">
      <alignment/>
    </xf>
    <xf numFmtId="0" fontId="0" fillId="53" borderId="39" xfId="0" applyFill="1" applyBorder="1" applyAlignment="1">
      <alignment/>
    </xf>
    <xf numFmtId="0" fontId="0" fillId="53" borderId="40" xfId="0" applyFill="1" applyBorder="1" applyAlignment="1">
      <alignment/>
    </xf>
    <xf numFmtId="2" fontId="0" fillId="53" borderId="40" xfId="0" applyNumberFormat="1" applyFill="1" applyBorder="1" applyAlignment="1">
      <alignment/>
    </xf>
    <xf numFmtId="0" fontId="0" fillId="53" borderId="41" xfId="0" applyFill="1" applyBorder="1" applyAlignment="1">
      <alignment/>
    </xf>
    <xf numFmtId="0" fontId="8" fillId="34" borderId="42" xfId="0" applyFont="1" applyFill="1" applyBorder="1" applyAlignment="1">
      <alignment vertical="top" wrapText="1"/>
    </xf>
    <xf numFmtId="0" fontId="8" fillId="34" borderId="41" xfId="0" applyFont="1" applyFill="1" applyBorder="1" applyAlignment="1">
      <alignment horizontal="center" wrapText="1"/>
    </xf>
    <xf numFmtId="1" fontId="8" fillId="34" borderId="43" xfId="0" applyNumberFormat="1" applyFont="1" applyFill="1" applyBorder="1" applyAlignment="1">
      <alignment horizontal="center" wrapText="1"/>
    </xf>
    <xf numFmtId="0" fontId="8" fillId="34" borderId="43" xfId="0" applyFont="1" applyFill="1" applyBorder="1" applyAlignment="1">
      <alignment horizontal="center" wrapText="1"/>
    </xf>
    <xf numFmtId="0" fontId="8" fillId="34" borderId="44" xfId="0" applyFont="1" applyFill="1" applyBorder="1" applyAlignment="1">
      <alignment horizontal="center" wrapText="1"/>
    </xf>
    <xf numFmtId="165" fontId="8" fillId="34" borderId="44" xfId="0" applyNumberFormat="1" applyFont="1" applyFill="1" applyBorder="1" applyAlignment="1">
      <alignment horizontal="center" wrapText="1"/>
    </xf>
    <xf numFmtId="0" fontId="8" fillId="52" borderId="33" xfId="0" applyFont="1" applyFill="1" applyBorder="1" applyAlignment="1">
      <alignment vertical="top" wrapText="1"/>
    </xf>
    <xf numFmtId="165" fontId="8" fillId="52" borderId="33" xfId="0" applyNumberFormat="1" applyFont="1" applyFill="1" applyBorder="1" applyAlignment="1">
      <alignment horizontal="center" wrapText="1"/>
    </xf>
    <xf numFmtId="0" fontId="8" fillId="52" borderId="42" xfId="0" applyFont="1" applyFill="1" applyBorder="1" applyAlignment="1">
      <alignment vertical="top" wrapText="1"/>
    </xf>
    <xf numFmtId="0" fontId="8" fillId="52" borderId="42" xfId="0" applyFont="1" applyFill="1" applyBorder="1" applyAlignment="1">
      <alignment horizontal="center" vertical="top" wrapText="1"/>
    </xf>
    <xf numFmtId="1" fontId="8" fillId="52" borderId="43" xfId="0" applyNumberFormat="1" applyFont="1" applyFill="1" applyBorder="1" applyAlignment="1">
      <alignment horizontal="center" wrapText="1"/>
    </xf>
    <xf numFmtId="0" fontId="8" fillId="52" borderId="43" xfId="0" applyFont="1" applyFill="1" applyBorder="1" applyAlignment="1">
      <alignment horizontal="center" wrapText="1"/>
    </xf>
    <xf numFmtId="0" fontId="8" fillId="52" borderId="43" xfId="0" applyFont="1" applyFill="1" applyBorder="1" applyAlignment="1">
      <alignment horizontal="center" vertical="top" wrapText="1"/>
    </xf>
    <xf numFmtId="165" fontId="8" fillId="52" borderId="43" xfId="0" applyNumberFormat="1" applyFont="1" applyFill="1" applyBorder="1" applyAlignment="1">
      <alignment horizontal="center" wrapText="1"/>
    </xf>
    <xf numFmtId="0" fontId="8" fillId="52" borderId="33" xfId="0" applyFont="1" applyFill="1" applyBorder="1" applyAlignment="1">
      <alignment horizontal="center" vertical="top" wrapText="1"/>
    </xf>
    <xf numFmtId="165" fontId="8" fillId="52" borderId="33" xfId="0" applyNumberFormat="1" applyFont="1" applyFill="1" applyBorder="1" applyAlignment="1">
      <alignment horizontal="center" vertical="top" wrapText="1"/>
    </xf>
    <xf numFmtId="165" fontId="8" fillId="52" borderId="43" xfId="0" applyNumberFormat="1" applyFont="1" applyFill="1" applyBorder="1" applyAlignment="1">
      <alignment horizontal="center" vertical="top" wrapText="1"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/>
    </xf>
    <xf numFmtId="0" fontId="0" fillId="46" borderId="21" xfId="0" applyFill="1" applyBorder="1" applyAlignment="1">
      <alignment/>
    </xf>
    <xf numFmtId="0" fontId="0" fillId="46" borderId="45" xfId="0" applyFill="1" applyBorder="1" applyAlignment="1">
      <alignment/>
    </xf>
    <xf numFmtId="0" fontId="0" fillId="46" borderId="22" xfId="0" applyFill="1" applyBorder="1" applyAlignment="1">
      <alignment/>
    </xf>
    <xf numFmtId="165" fontId="8" fillId="52" borderId="29" xfId="0" applyNumberFormat="1" applyFont="1" applyFill="1" applyBorder="1" applyAlignment="1">
      <alignment horizontal="center" wrapText="1"/>
    </xf>
    <xf numFmtId="0" fontId="15" fillId="37" borderId="37" xfId="0" applyFont="1" applyFill="1" applyBorder="1" applyAlignment="1">
      <alignment/>
    </xf>
    <xf numFmtId="0" fontId="8" fillId="52" borderId="44" xfId="0" applyFont="1" applyFill="1" applyBorder="1" applyAlignment="1">
      <alignment horizontal="center" wrapText="1"/>
    </xf>
    <xf numFmtId="165" fontId="8" fillId="52" borderId="44" xfId="0" applyNumberFormat="1" applyFont="1" applyFill="1" applyBorder="1" applyAlignment="1">
      <alignment horizontal="center" wrapText="1"/>
    </xf>
    <xf numFmtId="0" fontId="0" fillId="37" borderId="21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22" xfId="0" applyFill="1" applyBorder="1" applyAlignment="1">
      <alignment/>
    </xf>
    <xf numFmtId="0" fontId="0" fillId="53" borderId="21" xfId="0" applyFill="1" applyBorder="1" applyAlignment="1">
      <alignment/>
    </xf>
    <xf numFmtId="0" fontId="0" fillId="53" borderId="45" xfId="0" applyFill="1" applyBorder="1" applyAlignment="1">
      <alignment/>
    </xf>
    <xf numFmtId="0" fontId="0" fillId="53" borderId="22" xfId="0" applyFill="1" applyBorder="1" applyAlignment="1">
      <alignment/>
    </xf>
    <xf numFmtId="0" fontId="0" fillId="52" borderId="0" xfId="0" applyFill="1" applyAlignment="1">
      <alignment horizontal="right"/>
    </xf>
    <xf numFmtId="0" fontId="8" fillId="34" borderId="46" xfId="0" applyFont="1" applyFill="1" applyBorder="1" applyAlignment="1">
      <alignment horizontal="center" wrapText="1"/>
    </xf>
    <xf numFmtId="0" fontId="8" fillId="34" borderId="47" xfId="0" applyFont="1" applyFill="1" applyBorder="1" applyAlignment="1">
      <alignment horizontal="center" wrapText="1"/>
    </xf>
    <xf numFmtId="1" fontId="8" fillId="34" borderId="46" xfId="0" applyNumberFormat="1" applyFont="1" applyFill="1" applyBorder="1" applyAlignment="1">
      <alignment horizontal="center" wrapText="1"/>
    </xf>
    <xf numFmtId="165" fontId="8" fillId="34" borderId="47" xfId="0" applyNumberFormat="1" applyFont="1" applyFill="1" applyBorder="1" applyAlignment="1">
      <alignment horizontal="center" wrapText="1"/>
    </xf>
    <xf numFmtId="0" fontId="8" fillId="37" borderId="33" xfId="0" applyFont="1" applyFill="1" applyBorder="1" applyAlignment="1">
      <alignment vertical="top" wrapText="1"/>
    </xf>
    <xf numFmtId="0" fontId="8" fillId="37" borderId="42" xfId="0" applyFont="1" applyFill="1" applyBorder="1" applyAlignment="1">
      <alignment vertical="top" wrapText="1"/>
    </xf>
    <xf numFmtId="0" fontId="8" fillId="37" borderId="42" xfId="0" applyFont="1" applyFill="1" applyBorder="1" applyAlignment="1">
      <alignment horizontal="center" wrapText="1"/>
    </xf>
    <xf numFmtId="0" fontId="8" fillId="37" borderId="41" xfId="0" applyFont="1" applyFill="1" applyBorder="1" applyAlignment="1">
      <alignment horizontal="center" wrapText="1"/>
    </xf>
    <xf numFmtId="1" fontId="8" fillId="37" borderId="42" xfId="0" applyNumberFormat="1" applyFont="1" applyFill="1" applyBorder="1" applyAlignment="1">
      <alignment horizontal="center" wrapText="1"/>
    </xf>
    <xf numFmtId="165" fontId="8" fillId="37" borderId="41" xfId="0" applyNumberFormat="1" applyFont="1" applyFill="1" applyBorder="1" applyAlignment="1">
      <alignment horizontal="center" wrapText="1"/>
    </xf>
    <xf numFmtId="0" fontId="8" fillId="37" borderId="43" xfId="0" applyFont="1" applyFill="1" applyBorder="1" applyAlignment="1">
      <alignment horizontal="center" wrapText="1"/>
    </xf>
    <xf numFmtId="0" fontId="8" fillId="37" borderId="44" xfId="0" applyFont="1" applyFill="1" applyBorder="1" applyAlignment="1">
      <alignment horizontal="center" wrapText="1"/>
    </xf>
    <xf numFmtId="1" fontId="8" fillId="37" borderId="43" xfId="0" applyNumberFormat="1" applyFont="1" applyFill="1" applyBorder="1" applyAlignment="1">
      <alignment horizontal="center" wrapText="1"/>
    </xf>
    <xf numFmtId="165" fontId="8" fillId="37" borderId="44" xfId="0" applyNumberFormat="1" applyFont="1" applyFill="1" applyBorder="1" applyAlignment="1">
      <alignment horizontal="center" wrapText="1"/>
    </xf>
    <xf numFmtId="0" fontId="8" fillId="52" borderId="43" xfId="0" applyFont="1" applyFill="1" applyBorder="1" applyAlignment="1">
      <alignment vertical="top" wrapText="1"/>
    </xf>
    <xf numFmtId="0" fontId="0" fillId="52" borderId="34" xfId="0" applyFill="1" applyBorder="1" applyAlignment="1">
      <alignment vertical="top" wrapText="1"/>
    </xf>
    <xf numFmtId="0" fontId="8" fillId="52" borderId="3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35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11" fillId="0" borderId="0" xfId="0" applyFont="1" applyAlignment="1" quotePrefix="1">
      <alignment/>
    </xf>
    <xf numFmtId="0" fontId="0" fillId="37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1" fontId="15" fillId="0" borderId="0" xfId="0" applyNumberFormat="1" applyFont="1" applyAlignment="1">
      <alignment/>
    </xf>
    <xf numFmtId="1" fontId="0" fillId="35" borderId="0" xfId="0" applyNumberFormat="1" applyFill="1" applyAlignment="1">
      <alignment/>
    </xf>
    <xf numFmtId="1" fontId="0" fillId="0" borderId="0" xfId="0" applyNumberFormat="1" applyAlignment="1" quotePrefix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/>
    </xf>
    <xf numFmtId="1" fontId="15" fillId="0" borderId="11" xfId="0" applyNumberFormat="1" applyFont="1" applyBorder="1" applyAlignment="1">
      <alignment/>
    </xf>
    <xf numFmtId="0" fontId="43" fillId="0" borderId="0" xfId="0" applyFont="1" applyAlignment="1">
      <alignment/>
    </xf>
    <xf numFmtId="1" fontId="0" fillId="43" borderId="0" xfId="0" applyNumberFormat="1" applyFill="1" applyAlignment="1">
      <alignment/>
    </xf>
    <xf numFmtId="0" fontId="15" fillId="43" borderId="0" xfId="0" applyFont="1" applyFill="1" applyAlignment="1">
      <alignment horizontal="left"/>
    </xf>
    <xf numFmtId="0" fontId="0" fillId="50" borderId="11" xfId="0" applyFill="1" applyBorder="1" applyAlignment="1" applyProtection="1" quotePrefix="1">
      <alignment/>
      <protection hidden="1"/>
    </xf>
    <xf numFmtId="0" fontId="0" fillId="0" borderId="0" xfId="0" applyAlignment="1" quotePrefix="1">
      <alignment/>
    </xf>
    <xf numFmtId="1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2" fontId="0" fillId="0" borderId="0" xfId="0" applyNumberFormat="1" applyAlignment="1">
      <alignment/>
    </xf>
    <xf numFmtId="0" fontId="44" fillId="0" borderId="0" xfId="0" applyFont="1" applyAlignment="1" quotePrefix="1">
      <alignment/>
    </xf>
    <xf numFmtId="0" fontId="0" fillId="0" borderId="0" xfId="0" applyFont="1" applyAlignment="1">
      <alignment/>
    </xf>
    <xf numFmtId="0" fontId="15" fillId="33" borderId="10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quotePrefix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8" fillId="41" borderId="0" xfId="0" applyFont="1" applyFill="1" applyAlignment="1" quotePrefix="1">
      <alignment/>
    </xf>
    <xf numFmtId="0" fontId="8" fillId="41" borderId="0" xfId="0" applyFont="1" applyFill="1" applyAlignment="1" quotePrefix="1">
      <alignment/>
    </xf>
    <xf numFmtId="16" fontId="0" fillId="0" borderId="0" xfId="0" applyNumberFormat="1" applyAlignment="1">
      <alignment/>
    </xf>
    <xf numFmtId="0" fontId="15" fillId="0" borderId="0" xfId="0" applyFont="1" applyBorder="1" applyAlignment="1" quotePrefix="1">
      <alignment/>
    </xf>
    <xf numFmtId="0" fontId="11" fillId="0" borderId="0" xfId="0" applyFont="1" applyAlignment="1" quotePrefix="1">
      <alignment horizontal="left"/>
    </xf>
    <xf numFmtId="0" fontId="0" fillId="0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15" fillId="43" borderId="19" xfId="0" applyFont="1" applyFill="1" applyBorder="1" applyAlignment="1" quotePrefix="1">
      <alignment horizontal="center"/>
    </xf>
    <xf numFmtId="0" fontId="28" fillId="36" borderId="0" xfId="0" applyFont="1" applyFill="1" applyAlignment="1">
      <alignment/>
    </xf>
    <xf numFmtId="0" fontId="37" fillId="0" borderId="0" xfId="0" applyFont="1" applyAlignment="1">
      <alignment/>
    </xf>
    <xf numFmtId="0" fontId="11" fillId="0" borderId="11" xfId="0" applyFont="1" applyFill="1" applyBorder="1" applyAlignment="1" applyProtection="1" quotePrefix="1">
      <alignment horizontal="center"/>
      <protection/>
    </xf>
    <xf numFmtId="0" fontId="0" fillId="52" borderId="10" xfId="0" applyFill="1" applyBorder="1" applyAlignment="1">
      <alignment horizontal="center"/>
    </xf>
    <xf numFmtId="0" fontId="3" fillId="0" borderId="13" xfId="0" applyFont="1" applyBorder="1" applyAlignment="1">
      <alignment/>
    </xf>
    <xf numFmtId="0" fontId="11" fillId="0" borderId="13" xfId="0" applyFont="1" applyBorder="1" applyAlignment="1" applyProtection="1">
      <alignment/>
      <protection/>
    </xf>
    <xf numFmtId="0" fontId="11" fillId="0" borderId="17" xfId="0" applyFont="1" applyBorder="1" applyAlignment="1" quotePrefix="1">
      <alignment/>
    </xf>
    <xf numFmtId="0" fontId="15" fillId="43" borderId="11" xfId="0" applyFont="1" applyFill="1" applyBorder="1" applyAlignment="1" quotePrefix="1">
      <alignment horizontal="center"/>
    </xf>
    <xf numFmtId="0" fontId="15" fillId="43" borderId="20" xfId="0" applyFont="1" applyFill="1" applyBorder="1" applyAlignment="1" quotePrefix="1">
      <alignment horizontal="center"/>
    </xf>
    <xf numFmtId="0" fontId="15" fillId="0" borderId="10" xfId="0" applyFont="1" applyBorder="1" applyAlignment="1" quotePrefix="1">
      <alignment horizontal="center"/>
    </xf>
    <xf numFmtId="0" fontId="28" fillId="0" borderId="0" xfId="0" applyFont="1" applyAlignment="1">
      <alignment horizontal="center"/>
    </xf>
    <xf numFmtId="0" fontId="9" fillId="0" borderId="0" xfId="0" applyFont="1" applyFill="1" applyAlignment="1" quotePrefix="1">
      <alignment/>
    </xf>
    <xf numFmtId="0" fontId="15" fillId="43" borderId="11" xfId="0" applyFont="1" applyFill="1" applyBorder="1" applyAlignment="1" applyProtection="1">
      <alignment/>
      <protection/>
    </xf>
    <xf numFmtId="0" fontId="15" fillId="53" borderId="28" xfId="0" applyFont="1" applyFill="1" applyBorder="1" applyAlignment="1">
      <alignment horizontal="center" wrapText="1"/>
    </xf>
    <xf numFmtId="0" fontId="15" fillId="41" borderId="23" xfId="0" applyFont="1" applyFill="1" applyBorder="1" applyAlignment="1">
      <alignment horizontal="center"/>
    </xf>
    <xf numFmtId="0" fontId="0" fillId="41" borderId="24" xfId="0" applyFill="1" applyBorder="1" applyAlignment="1">
      <alignment/>
    </xf>
    <xf numFmtId="0" fontId="15" fillId="41" borderId="28" xfId="0" applyFont="1" applyFill="1" applyBorder="1" applyAlignment="1">
      <alignment horizontal="center" wrapText="1"/>
    </xf>
    <xf numFmtId="0" fontId="0" fillId="41" borderId="29" xfId="0" applyFill="1" applyBorder="1" applyAlignment="1">
      <alignment/>
    </xf>
    <xf numFmtId="0" fontId="0" fillId="41" borderId="23" xfId="0" applyFill="1" applyBorder="1" applyAlignment="1">
      <alignment/>
    </xf>
    <xf numFmtId="0" fontId="15" fillId="41" borderId="0" xfId="0" applyFont="1" applyFill="1" applyBorder="1" applyAlignment="1">
      <alignment/>
    </xf>
    <xf numFmtId="164" fontId="0" fillId="41" borderId="27" xfId="0" applyNumberFormat="1" applyFill="1" applyBorder="1" applyAlignment="1">
      <alignment/>
    </xf>
    <xf numFmtId="0" fontId="0" fillId="41" borderId="27" xfId="0" applyFill="1" applyBorder="1" applyAlignment="1">
      <alignment/>
    </xf>
    <xf numFmtId="164" fontId="0" fillId="41" borderId="24" xfId="0" applyNumberFormat="1" applyFill="1" applyBorder="1" applyAlignment="1">
      <alignment/>
    </xf>
    <xf numFmtId="0" fontId="0" fillId="41" borderId="28" xfId="0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164" fontId="0" fillId="41" borderId="29" xfId="0" applyNumberFormat="1" applyFill="1" applyBorder="1" applyAlignment="1">
      <alignment/>
    </xf>
    <xf numFmtId="0" fontId="15" fillId="41" borderId="28" xfId="0" applyFont="1" applyFill="1" applyBorder="1" applyAlignment="1">
      <alignment/>
    </xf>
    <xf numFmtId="0" fontId="0" fillId="41" borderId="28" xfId="0" applyFont="1" applyFill="1" applyBorder="1" applyAlignment="1">
      <alignment/>
    </xf>
    <xf numFmtId="164" fontId="0" fillId="41" borderId="30" xfId="0" applyNumberFormat="1" applyFill="1" applyBorder="1" applyAlignment="1">
      <alignment/>
    </xf>
    <xf numFmtId="0" fontId="0" fillId="41" borderId="25" xfId="0" applyFill="1" applyBorder="1" applyAlignment="1">
      <alignment/>
    </xf>
    <xf numFmtId="0" fontId="0" fillId="41" borderId="30" xfId="0" applyFill="1" applyBorder="1" applyAlignment="1">
      <alignment/>
    </xf>
    <xf numFmtId="164" fontId="0" fillId="41" borderId="26" xfId="0" applyNumberFormat="1" applyFill="1" applyBorder="1" applyAlignment="1">
      <alignment/>
    </xf>
    <xf numFmtId="0" fontId="0" fillId="41" borderId="48" xfId="0" applyFill="1" applyBorder="1" applyAlignment="1">
      <alignment/>
    </xf>
    <xf numFmtId="0" fontId="0" fillId="41" borderId="49" xfId="0" applyFill="1" applyBorder="1" applyAlignment="1">
      <alignment/>
    </xf>
    <xf numFmtId="164" fontId="0" fillId="41" borderId="49" xfId="0" applyNumberFormat="1" applyFill="1" applyBorder="1" applyAlignment="1">
      <alignment/>
    </xf>
    <xf numFmtId="164" fontId="0" fillId="41" borderId="44" xfId="0" applyNumberFormat="1" applyFill="1" applyBorder="1" applyAlignment="1">
      <alignment/>
    </xf>
    <xf numFmtId="164" fontId="0" fillId="43" borderId="0" xfId="0" applyNumberFormat="1" applyFill="1" applyAlignment="1">
      <alignment horizontal="center"/>
    </xf>
    <xf numFmtId="0" fontId="0" fillId="43" borderId="0" xfId="0" applyFont="1" applyFill="1" applyAlignment="1">
      <alignment/>
    </xf>
    <xf numFmtId="164" fontId="0" fillId="43" borderId="0" xfId="0" applyNumberFormat="1" applyFont="1" applyFill="1" applyAlignment="1">
      <alignment horizontal="center"/>
    </xf>
    <xf numFmtId="164" fontId="0" fillId="43" borderId="0" xfId="0" applyNumberFormat="1" applyFont="1" applyFill="1" applyAlignment="1">
      <alignment horizontal="center" wrapText="1"/>
    </xf>
    <xf numFmtId="0" fontId="0" fillId="43" borderId="0" xfId="0" applyFont="1" applyFill="1" applyBorder="1" applyAlignment="1">
      <alignment horizontal="center" wrapText="1"/>
    </xf>
    <xf numFmtId="164" fontId="0" fillId="43" borderId="0" xfId="0" applyNumberFormat="1" applyFont="1" applyFill="1" applyBorder="1" applyAlignment="1">
      <alignment horizontal="center" wrapText="1"/>
    </xf>
    <xf numFmtId="0" fontId="0" fillId="52" borderId="33" xfId="0" applyFont="1" applyFill="1" applyBorder="1" applyAlignment="1">
      <alignment wrapText="1"/>
    </xf>
    <xf numFmtId="0" fontId="0" fillId="43" borderId="25" xfId="0" applyFont="1" applyFill="1" applyBorder="1" applyAlignment="1">
      <alignment/>
    </xf>
    <xf numFmtId="164" fontId="0" fillId="43" borderId="30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 wrapText="1"/>
    </xf>
    <xf numFmtId="164" fontId="0" fillId="43" borderId="29" xfId="0" applyNumberFormat="1" applyFont="1" applyFill="1" applyBorder="1" applyAlignment="1">
      <alignment horizontal="center" vertical="top" wrapText="1"/>
    </xf>
    <xf numFmtId="0" fontId="0" fillId="37" borderId="33" xfId="0" applyFont="1" applyFill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34" borderId="42" xfId="0" applyFont="1" applyFill="1" applyBorder="1" applyAlignment="1">
      <alignment vertical="top" wrapText="1"/>
    </xf>
    <xf numFmtId="0" fontId="0" fillId="52" borderId="33" xfId="0" applyFont="1" applyFill="1" applyBorder="1" applyAlignment="1">
      <alignment vertical="top" wrapText="1"/>
    </xf>
    <xf numFmtId="0" fontId="0" fillId="52" borderId="42" xfId="0" applyFont="1" applyFill="1" applyBorder="1" applyAlignment="1">
      <alignment vertical="top" wrapText="1"/>
    </xf>
    <xf numFmtId="0" fontId="0" fillId="37" borderId="33" xfId="0" applyFont="1" applyFill="1" applyBorder="1" applyAlignment="1">
      <alignment vertical="top" wrapText="1"/>
    </xf>
    <xf numFmtId="0" fontId="0" fillId="37" borderId="42" xfId="0" applyFont="1" applyFill="1" applyBorder="1" applyAlignment="1">
      <alignment vertical="top" wrapText="1"/>
    </xf>
    <xf numFmtId="0" fontId="0" fillId="52" borderId="43" xfId="0" applyFont="1" applyFill="1" applyBorder="1" applyAlignment="1">
      <alignment vertical="top" wrapText="1"/>
    </xf>
    <xf numFmtId="0" fontId="0" fillId="43" borderId="23" xfId="0" applyFont="1" applyFill="1" applyBorder="1" applyAlignment="1">
      <alignment/>
    </xf>
    <xf numFmtId="164" fontId="0" fillId="43" borderId="27" xfId="0" applyNumberFormat="1" applyFont="1" applyFill="1" applyBorder="1" applyAlignment="1">
      <alignment horizontal="center"/>
    </xf>
    <xf numFmtId="0" fontId="0" fillId="43" borderId="28" xfId="0" applyFont="1" applyFill="1" applyBorder="1" applyAlignment="1">
      <alignment/>
    </xf>
    <xf numFmtId="164" fontId="0" fillId="43" borderId="0" xfId="0" applyNumberFormat="1" applyFont="1" applyFill="1" applyBorder="1" applyAlignment="1">
      <alignment horizontal="center"/>
    </xf>
    <xf numFmtId="0" fontId="0" fillId="43" borderId="28" xfId="0" applyFont="1" applyFill="1" applyBorder="1" applyAlignment="1">
      <alignment horizontal="center" vertical="top" wrapText="1"/>
    </xf>
    <xf numFmtId="164" fontId="0" fillId="43" borderId="0" xfId="0" applyNumberFormat="1" applyFont="1" applyFill="1" applyBorder="1" applyAlignment="1">
      <alignment horizontal="center" vertical="top" wrapText="1"/>
    </xf>
    <xf numFmtId="0" fontId="0" fillId="43" borderId="28" xfId="0" applyFont="1" applyFill="1" applyBorder="1" applyAlignment="1">
      <alignment vertical="top" wrapText="1"/>
    </xf>
    <xf numFmtId="0" fontId="0" fillId="43" borderId="25" xfId="0" applyFont="1" applyFill="1" applyBorder="1" applyAlignment="1">
      <alignment horizontal="center" vertical="top" wrapText="1"/>
    </xf>
    <xf numFmtId="164" fontId="0" fillId="43" borderId="24" xfId="0" applyNumberFormat="1" applyFont="1" applyFill="1" applyBorder="1" applyAlignment="1">
      <alignment horizontal="center"/>
    </xf>
    <xf numFmtId="164" fontId="0" fillId="43" borderId="29" xfId="0" applyNumberFormat="1" applyFont="1" applyFill="1" applyBorder="1" applyAlignment="1">
      <alignment horizontal="center"/>
    </xf>
    <xf numFmtId="164" fontId="0" fillId="43" borderId="26" xfId="0" applyNumberFormat="1" applyFont="1" applyFill="1" applyBorder="1" applyAlignment="1">
      <alignment horizontal="center"/>
    </xf>
    <xf numFmtId="0" fontId="0" fillId="52" borderId="32" xfId="0" applyFont="1" applyFill="1" applyBorder="1" applyAlignment="1">
      <alignment wrapText="1"/>
    </xf>
    <xf numFmtId="0" fontId="0" fillId="37" borderId="34" xfId="0" applyFont="1" applyFill="1" applyBorder="1" applyAlignment="1">
      <alignment vertical="top" wrapText="1"/>
    </xf>
    <xf numFmtId="164" fontId="0" fillId="43" borderId="30" xfId="0" applyNumberFormat="1" applyFont="1" applyFill="1" applyBorder="1" applyAlignment="1">
      <alignment horizontal="center" vertical="top" wrapText="1"/>
    </xf>
    <xf numFmtId="164" fontId="0" fillId="43" borderId="26" xfId="0" applyNumberFormat="1" applyFont="1" applyFill="1" applyBorder="1" applyAlignment="1">
      <alignment horizontal="center" vertical="top" wrapText="1"/>
    </xf>
    <xf numFmtId="0" fontId="0" fillId="43" borderId="39" xfId="0" applyFont="1" applyFill="1" applyBorder="1" applyAlignment="1">
      <alignment/>
    </xf>
    <xf numFmtId="164" fontId="0" fillId="43" borderId="40" xfId="0" applyNumberFormat="1" applyFont="1" applyFill="1" applyBorder="1" applyAlignment="1">
      <alignment horizontal="center"/>
    </xf>
    <xf numFmtId="164" fontId="0" fillId="43" borderId="41" xfId="0" applyNumberFormat="1" applyFont="1" applyFill="1" applyBorder="1" applyAlignment="1">
      <alignment horizontal="center"/>
    </xf>
    <xf numFmtId="0" fontId="0" fillId="43" borderId="39" xfId="0" applyFont="1" applyFill="1" applyBorder="1" applyAlignment="1">
      <alignment horizontal="center" vertical="top" wrapText="1"/>
    </xf>
    <xf numFmtId="164" fontId="0" fillId="43" borderId="40" xfId="0" applyNumberFormat="1" applyFont="1" applyFill="1" applyBorder="1" applyAlignment="1">
      <alignment horizontal="center" vertical="top" wrapText="1"/>
    </xf>
    <xf numFmtId="164" fontId="0" fillId="43" borderId="41" xfId="0" applyNumberFormat="1" applyFont="1" applyFill="1" applyBorder="1" applyAlignment="1">
      <alignment horizontal="center" vertical="top" wrapText="1"/>
    </xf>
    <xf numFmtId="2" fontId="0" fillId="43" borderId="29" xfId="0" applyNumberFormat="1" applyFont="1" applyFill="1" applyBorder="1" applyAlignment="1">
      <alignment horizontal="center"/>
    </xf>
    <xf numFmtId="2" fontId="0" fillId="43" borderId="26" xfId="0" applyNumberFormat="1" applyFont="1" applyFill="1" applyBorder="1" applyAlignment="1">
      <alignment horizontal="center"/>
    </xf>
    <xf numFmtId="2" fontId="0" fillId="43" borderId="0" xfId="0" applyNumberFormat="1" applyFont="1" applyFill="1" applyBorder="1" applyAlignment="1">
      <alignment horizontal="center"/>
    </xf>
    <xf numFmtId="165" fontId="0" fillId="43" borderId="29" xfId="0" applyNumberFormat="1" applyFont="1" applyFill="1" applyBorder="1" applyAlignment="1">
      <alignment horizontal="center"/>
    </xf>
    <xf numFmtId="2" fontId="0" fillId="43" borderId="40" xfId="0" applyNumberFormat="1" applyFont="1" applyFill="1" applyBorder="1" applyAlignment="1">
      <alignment horizontal="center"/>
    </xf>
    <xf numFmtId="165" fontId="0" fillId="43" borderId="41" xfId="0" applyNumberFormat="1" applyFont="1" applyFill="1" applyBorder="1" applyAlignment="1">
      <alignment horizontal="center"/>
    </xf>
    <xf numFmtId="2" fontId="0" fillId="43" borderId="30" xfId="0" applyNumberFormat="1" applyFont="1" applyFill="1" applyBorder="1" applyAlignment="1">
      <alignment horizontal="center"/>
    </xf>
    <xf numFmtId="165" fontId="0" fillId="43" borderId="26" xfId="0" applyNumberFormat="1" applyFont="1" applyFill="1" applyBorder="1" applyAlignment="1">
      <alignment horizontal="center"/>
    </xf>
    <xf numFmtId="0" fontId="15" fillId="43" borderId="0" xfId="0" applyFont="1" applyFill="1" applyAlignment="1">
      <alignment/>
    </xf>
    <xf numFmtId="0" fontId="3" fillId="41" borderId="0" xfId="0" applyFont="1" applyFill="1" applyAlignment="1">
      <alignment horizontal="center" wrapText="1"/>
    </xf>
    <xf numFmtId="0" fontId="3" fillId="41" borderId="26" xfId="0" applyFont="1" applyFill="1" applyBorder="1" applyAlignment="1">
      <alignment horizontal="center" wrapText="1"/>
    </xf>
    <xf numFmtId="0" fontId="3" fillId="43" borderId="0" xfId="0" applyFont="1" applyFill="1" applyAlignment="1">
      <alignment/>
    </xf>
    <xf numFmtId="0" fontId="3" fillId="41" borderId="2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1" fontId="15" fillId="0" borderId="10" xfId="0" applyNumberFormat="1" applyFont="1" applyBorder="1" applyAlignment="1">
      <alignment horizontal="center"/>
    </xf>
    <xf numFmtId="0" fontId="49" fillId="37" borderId="0" xfId="0" applyFont="1" applyFill="1" applyAlignment="1">
      <alignment/>
    </xf>
    <xf numFmtId="0" fontId="12" fillId="39" borderId="0" xfId="0" applyFont="1" applyFill="1" applyAlignment="1">
      <alignment horizontal="center"/>
    </xf>
    <xf numFmtId="1" fontId="0" fillId="33" borderId="31" xfId="0" applyNumberFormat="1" applyFill="1" applyBorder="1" applyAlignment="1" applyProtection="1">
      <alignment horizontal="center"/>
      <protection locked="0"/>
    </xf>
    <xf numFmtId="0" fontId="0" fillId="0" borderId="50" xfId="0" applyBorder="1" applyAlignment="1">
      <alignment/>
    </xf>
    <xf numFmtId="0" fontId="5" fillId="0" borderId="0" xfId="0" applyFont="1" applyFill="1" applyAlignment="1">
      <alignment wrapText="1"/>
    </xf>
    <xf numFmtId="164" fontId="0" fillId="42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15" fillId="33" borderId="11" xfId="0" applyFont="1" applyFill="1" applyBorder="1" applyAlignment="1" applyProtection="1">
      <alignment horizontal="center"/>
      <protection locked="0"/>
    </xf>
    <xf numFmtId="1" fontId="15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0" fillId="33" borderId="11" xfId="0" applyFill="1" applyBorder="1" applyAlignment="1" quotePrefix="1">
      <alignment/>
    </xf>
    <xf numFmtId="1" fontId="0" fillId="0" borderId="11" xfId="0" applyNumberFormat="1" applyBorder="1" applyAlignment="1">
      <alignment/>
    </xf>
    <xf numFmtId="0" fontId="0" fillId="40" borderId="0" xfId="0" applyFill="1" applyAlignment="1">
      <alignment horizontal="center"/>
    </xf>
    <xf numFmtId="0" fontId="0" fillId="51" borderId="0" xfId="0" applyFill="1" applyAlignment="1">
      <alignment horizontal="center"/>
    </xf>
    <xf numFmtId="0" fontId="0" fillId="33" borderId="31" xfId="0" applyFill="1" applyBorder="1" applyAlignment="1" applyProtection="1">
      <alignment horizontal="center"/>
      <protection hidden="1" locked="0"/>
    </xf>
    <xf numFmtId="1" fontId="0" fillId="33" borderId="31" xfId="0" applyNumberFormat="1" applyFill="1" applyBorder="1" applyAlignment="1" applyProtection="1">
      <alignment horizontal="center"/>
      <protection hidden="1" locked="0"/>
    </xf>
    <xf numFmtId="0" fontId="11" fillId="0" borderId="0" xfId="0" applyFont="1" applyFill="1" applyAlignment="1" quotePrefix="1">
      <alignment/>
    </xf>
    <xf numFmtId="0" fontId="39" fillId="36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2" fontId="0" fillId="42" borderId="10" xfId="0" applyNumberFormat="1" applyFill="1" applyBorder="1" applyAlignment="1" applyProtection="1">
      <alignment horizontal="center"/>
      <protection/>
    </xf>
    <xf numFmtId="2" fontId="0" fillId="44" borderId="10" xfId="0" applyNumberFormat="1" applyFill="1" applyBorder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0" fillId="38" borderId="0" xfId="0" applyFill="1" applyBorder="1" applyAlignment="1">
      <alignment/>
    </xf>
    <xf numFmtId="1" fontId="0" fillId="38" borderId="0" xfId="0" applyNumberFormat="1" applyFill="1" applyBorder="1" applyAlignment="1">
      <alignment horizontal="center"/>
    </xf>
    <xf numFmtId="1" fontId="0" fillId="38" borderId="11" xfId="0" applyNumberForma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0" fillId="36" borderId="45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2" fontId="0" fillId="38" borderId="30" xfId="0" applyNumberFormat="1" applyFill="1" applyBorder="1" applyAlignment="1" applyProtection="1">
      <alignment horizontal="center"/>
      <protection hidden="1"/>
    </xf>
    <xf numFmtId="0" fontId="0" fillId="42" borderId="0" xfId="0" applyFill="1" applyBorder="1" applyAlignment="1" applyProtection="1">
      <alignment/>
      <protection hidden="1"/>
    </xf>
    <xf numFmtId="0" fontId="42" fillId="0" borderId="0" xfId="0" applyFont="1" applyAlignment="1" applyProtection="1">
      <alignment/>
      <protection/>
    </xf>
    <xf numFmtId="0" fontId="0" fillId="52" borderId="31" xfId="0" applyFill="1" applyBorder="1" applyAlignment="1" applyProtection="1">
      <alignment horizontal="center"/>
      <protection locked="0"/>
    </xf>
    <xf numFmtId="0" fontId="0" fillId="52" borderId="1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43" borderId="0" xfId="0" applyFill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0" xfId="0" applyFill="1" applyAlignment="1" quotePrefix="1">
      <alignment/>
    </xf>
    <xf numFmtId="2" fontId="0" fillId="0" borderId="0" xfId="0" applyNumberFormat="1" applyFill="1" applyAlignment="1">
      <alignment/>
    </xf>
    <xf numFmtId="0" fontId="0" fillId="0" borderId="28" xfId="0" applyFill="1" applyBorder="1" applyAlignment="1" applyProtection="1">
      <alignment horizontal="center"/>
      <protection hidden="1"/>
    </xf>
    <xf numFmtId="0" fontId="11" fillId="37" borderId="0" xfId="0" applyFont="1" applyFill="1" applyAlignment="1">
      <alignment horizontal="center"/>
    </xf>
    <xf numFmtId="0" fontId="11" fillId="37" borderId="0" xfId="0" applyFont="1" applyFill="1" applyAlignment="1">
      <alignment horizontal="right"/>
    </xf>
    <xf numFmtId="0" fontId="11" fillId="37" borderId="0" xfId="0" applyFont="1" applyFill="1" applyAlignment="1">
      <alignment/>
    </xf>
    <xf numFmtId="164" fontId="42" fillId="0" borderId="0" xfId="0" applyNumberFormat="1" applyFont="1" applyAlignment="1" applyProtection="1">
      <alignment/>
      <protection/>
    </xf>
    <xf numFmtId="2" fontId="0" fillId="42" borderId="11" xfId="0" applyNumberFormat="1" applyFill="1" applyBorder="1" applyAlignment="1">
      <alignment/>
    </xf>
    <xf numFmtId="165" fontId="0" fillId="0" borderId="0" xfId="0" applyNumberFormat="1" applyAlignment="1" applyProtection="1" quotePrefix="1">
      <alignment horizontal="center"/>
      <protection hidden="1"/>
    </xf>
    <xf numFmtId="165" fontId="0" fillId="0" borderId="0" xfId="0" applyNumberFormat="1" applyFill="1" applyAlignment="1" applyProtection="1" quotePrefix="1">
      <alignment horizontal="center"/>
      <protection hidden="1"/>
    </xf>
    <xf numFmtId="0" fontId="42" fillId="0" borderId="17" xfId="0" applyFont="1" applyBorder="1" applyAlignment="1">
      <alignment/>
    </xf>
    <xf numFmtId="0" fontId="0" fillId="40" borderId="0" xfId="0" applyFill="1" applyAlignment="1">
      <alignment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14" fontId="51" fillId="0" borderId="0" xfId="0" applyNumberFormat="1" applyFont="1" applyAlignment="1">
      <alignment horizontal="center"/>
    </xf>
    <xf numFmtId="0" fontId="25" fillId="0" borderId="0" xfId="0" applyFont="1" applyAlignment="1" quotePrefix="1">
      <alignment/>
    </xf>
    <xf numFmtId="0" fontId="0" fillId="54" borderId="11" xfId="0" applyFill="1" applyBorder="1" applyAlignment="1" applyProtection="1">
      <alignment/>
      <protection locked="0"/>
    </xf>
    <xf numFmtId="0" fontId="0" fillId="0" borderId="0" xfId="0" applyAlignment="1" applyProtection="1" quotePrefix="1">
      <alignment horizontal="right"/>
      <protection hidden="1"/>
    </xf>
    <xf numFmtId="49" fontId="0" fillId="0" borderId="0" xfId="0" applyNumberFormat="1" applyFill="1" applyAlignment="1">
      <alignment/>
    </xf>
    <xf numFmtId="0" fontId="0" fillId="0" borderId="13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 quotePrefix="1">
      <alignment horizontal="right"/>
      <protection hidden="1"/>
    </xf>
    <xf numFmtId="0" fontId="0" fillId="0" borderId="11" xfId="0" applyBorder="1" applyAlignment="1" quotePrefix="1">
      <alignment/>
    </xf>
    <xf numFmtId="0" fontId="0" fillId="40" borderId="11" xfId="0" applyFill="1" applyBorder="1" applyAlignment="1" applyProtection="1" quotePrefix="1">
      <alignment horizontal="right"/>
      <protection hidden="1"/>
    </xf>
    <xf numFmtId="0" fontId="11" fillId="0" borderId="0" xfId="0" applyFont="1" applyAlignment="1">
      <alignment horizontal="right"/>
    </xf>
    <xf numFmtId="0" fontId="0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40" borderId="17" xfId="0" applyFill="1" applyBorder="1" applyAlignment="1">
      <alignment horizontal="center"/>
    </xf>
    <xf numFmtId="0" fontId="0" fillId="0" borderId="20" xfId="0" applyBorder="1" applyAlignment="1" quotePrefix="1">
      <alignment/>
    </xf>
    <xf numFmtId="0" fontId="0" fillId="4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7" fillId="0" borderId="0" xfId="0" applyFont="1" applyFill="1" applyAlignment="1">
      <alignment/>
    </xf>
    <xf numFmtId="0" fontId="0" fillId="50" borderId="11" xfId="0" applyFill="1" applyBorder="1" applyAlignment="1" applyProtection="1">
      <alignment/>
      <protection/>
    </xf>
    <xf numFmtId="0" fontId="0" fillId="47" borderId="0" xfId="0" applyFill="1" applyAlignment="1">
      <alignment/>
    </xf>
    <xf numFmtId="0" fontId="19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8" fillId="46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46" borderId="0" xfId="0" applyFill="1" applyAlignment="1" quotePrefix="1">
      <alignment/>
    </xf>
    <xf numFmtId="0" fontId="0" fillId="51" borderId="31" xfId="0" applyNumberFormat="1" applyFill="1" applyBorder="1" applyAlignment="1" applyProtection="1">
      <alignment horizontal="center"/>
      <protection hidden="1"/>
    </xf>
    <xf numFmtId="0" fontId="0" fillId="40" borderId="31" xfId="0" applyNumberFormat="1" applyFill="1" applyBorder="1" applyAlignment="1" applyProtection="1">
      <alignment horizontal="center"/>
      <protection hidden="1"/>
    </xf>
    <xf numFmtId="0" fontId="42" fillId="0" borderId="0" xfId="0" applyFont="1" applyAlignment="1">
      <alignment/>
    </xf>
    <xf numFmtId="1" fontId="0" fillId="0" borderId="0" xfId="0" applyNumberFormat="1" applyFill="1" applyAlignment="1">
      <alignment horizontal="center"/>
    </xf>
    <xf numFmtId="0" fontId="42" fillId="0" borderId="0" xfId="0" applyFont="1" applyAlignment="1" quotePrefix="1">
      <alignment/>
    </xf>
    <xf numFmtId="0" fontId="0" fillId="51" borderId="0" xfId="0" applyFill="1" applyAlignment="1">
      <alignment/>
    </xf>
    <xf numFmtId="0" fontId="10" fillId="37" borderId="0" xfId="0" applyFont="1" applyFill="1" applyAlignment="1">
      <alignment/>
    </xf>
    <xf numFmtId="0" fontId="0" fillId="0" borderId="0" xfId="0" applyNumberFormat="1" applyAlignment="1" applyProtection="1">
      <alignment/>
      <protection hidden="1"/>
    </xf>
    <xf numFmtId="0" fontId="53" fillId="52" borderId="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 hidden="1" locked="0"/>
    </xf>
    <xf numFmtId="0" fontId="0" fillId="0" borderId="10" xfId="0" applyFill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52" borderId="23" xfId="0" applyFont="1" applyFill="1" applyBorder="1" applyAlignment="1">
      <alignment horizontal="center" wrapText="1"/>
    </xf>
    <xf numFmtId="0" fontId="8" fillId="52" borderId="24" xfId="0" applyFont="1" applyFill="1" applyBorder="1" applyAlignment="1">
      <alignment horizontal="center" wrapText="1"/>
    </xf>
    <xf numFmtId="0" fontId="8" fillId="52" borderId="28" xfId="0" applyFont="1" applyFill="1" applyBorder="1" applyAlignment="1">
      <alignment horizontal="center" wrapText="1"/>
    </xf>
    <xf numFmtId="0" fontId="8" fillId="52" borderId="29" xfId="0" applyFont="1" applyFill="1" applyBorder="1" applyAlignment="1">
      <alignment horizontal="center" wrapText="1"/>
    </xf>
    <xf numFmtId="0" fontId="8" fillId="52" borderId="25" xfId="0" applyFont="1" applyFill="1" applyBorder="1" applyAlignment="1">
      <alignment horizontal="center" wrapText="1"/>
    </xf>
    <xf numFmtId="0" fontId="8" fillId="52" borderId="26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15" fillId="46" borderId="28" xfId="0" applyFont="1" applyFill="1" applyBorder="1" applyAlignment="1">
      <alignment horizontal="center" vertical="center"/>
    </xf>
    <xf numFmtId="0" fontId="0" fillId="46" borderId="29" xfId="0" applyFill="1" applyBorder="1" applyAlignment="1">
      <alignment vertical="center"/>
    </xf>
    <xf numFmtId="0" fontId="15" fillId="46" borderId="25" xfId="0" applyFont="1" applyFill="1" applyBorder="1" applyAlignment="1">
      <alignment horizontal="center" wrapText="1"/>
    </xf>
    <xf numFmtId="0" fontId="0" fillId="46" borderId="26" xfId="0" applyFill="1" applyBorder="1" applyAlignment="1">
      <alignment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52" borderId="21" xfId="0" applyFont="1" applyFill="1" applyBorder="1" applyAlignment="1">
      <alignment horizontal="center" vertical="top" wrapText="1"/>
    </xf>
    <xf numFmtId="0" fontId="8" fillId="52" borderId="45" xfId="0" applyFont="1" applyFill="1" applyBorder="1" applyAlignment="1">
      <alignment horizontal="center" vertical="top" wrapText="1"/>
    </xf>
    <xf numFmtId="0" fontId="8" fillId="52" borderId="22" xfId="0" applyFont="1" applyFill="1" applyBorder="1" applyAlignment="1">
      <alignment horizontal="center" vertical="top" wrapText="1"/>
    </xf>
    <xf numFmtId="0" fontId="15" fillId="46" borderId="23" xfId="0" applyFont="1" applyFill="1" applyBorder="1" applyAlignment="1">
      <alignment horizontal="center"/>
    </xf>
    <xf numFmtId="0" fontId="0" fillId="46" borderId="24" xfId="0" applyFill="1" applyBorder="1" applyAlignment="1">
      <alignment/>
    </xf>
    <xf numFmtId="0" fontId="15" fillId="42" borderId="0" xfId="0" applyFont="1" applyFill="1" applyAlignment="1" applyProtection="1">
      <alignment/>
      <protection hidden="1"/>
    </xf>
    <xf numFmtId="0" fontId="0" fillId="42" borderId="0" xfId="0" applyFill="1" applyAlignment="1" applyProtection="1">
      <alignment/>
      <protection hidden="1"/>
    </xf>
    <xf numFmtId="0" fontId="0" fillId="40" borderId="11" xfId="0" applyFill="1" applyBorder="1" applyAlignment="1" applyProtection="1">
      <alignment/>
      <protection hidden="1"/>
    </xf>
    <xf numFmtId="0" fontId="0" fillId="40" borderId="10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164" fontId="0" fillId="35" borderId="0" xfId="0" applyNumberFormat="1" applyFill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95</xdr:row>
      <xdr:rowOff>0</xdr:rowOff>
    </xdr:from>
    <xdr:to>
      <xdr:col>9</xdr:col>
      <xdr:colOff>9525</xdr:colOff>
      <xdr:row>96</xdr:row>
      <xdr:rowOff>0</xdr:rowOff>
    </xdr:to>
    <xdr:sp>
      <xdr:nvSpPr>
        <xdr:cNvPr id="1" name="Line 8"/>
        <xdr:cNvSpPr>
          <a:spLocks/>
        </xdr:cNvSpPr>
      </xdr:nvSpPr>
      <xdr:spPr>
        <a:xfrm flipH="1">
          <a:off x="7620000" y="131064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9</xdr:col>
      <xdr:colOff>0</xdr:colOff>
      <xdr:row>92</xdr:row>
      <xdr:rowOff>9525</xdr:rowOff>
    </xdr:to>
    <xdr:sp>
      <xdr:nvSpPr>
        <xdr:cNvPr id="2" name="Line 9"/>
        <xdr:cNvSpPr>
          <a:spLocks/>
        </xdr:cNvSpPr>
      </xdr:nvSpPr>
      <xdr:spPr>
        <a:xfrm flipH="1" flipV="1">
          <a:off x="7620000" y="12401550"/>
          <a:ext cx="7334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91</xdr:row>
      <xdr:rowOff>0</xdr:rowOff>
    </xdr:from>
    <xdr:to>
      <xdr:col>15</xdr:col>
      <xdr:colOff>0</xdr:colOff>
      <xdr:row>92</xdr:row>
      <xdr:rowOff>0</xdr:rowOff>
    </xdr:to>
    <xdr:sp>
      <xdr:nvSpPr>
        <xdr:cNvPr id="3" name="Line 10"/>
        <xdr:cNvSpPr>
          <a:spLocks/>
        </xdr:cNvSpPr>
      </xdr:nvSpPr>
      <xdr:spPr>
        <a:xfrm flipV="1">
          <a:off x="11401425" y="124015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94</xdr:row>
      <xdr:rowOff>180975</xdr:rowOff>
    </xdr:from>
    <xdr:to>
      <xdr:col>15</xdr:col>
      <xdr:colOff>0</xdr:colOff>
      <xdr:row>96</xdr:row>
      <xdr:rowOff>0</xdr:rowOff>
    </xdr:to>
    <xdr:sp>
      <xdr:nvSpPr>
        <xdr:cNvPr id="4" name="Line 11"/>
        <xdr:cNvSpPr>
          <a:spLocks/>
        </xdr:cNvSpPr>
      </xdr:nvSpPr>
      <xdr:spPr>
        <a:xfrm>
          <a:off x="11401425" y="13096875"/>
          <a:ext cx="609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111</xdr:row>
      <xdr:rowOff>0</xdr:rowOff>
    </xdr:from>
    <xdr:to>
      <xdr:col>10</xdr:col>
      <xdr:colOff>0</xdr:colOff>
      <xdr:row>112</xdr:row>
      <xdr:rowOff>0</xdr:rowOff>
    </xdr:to>
    <xdr:sp>
      <xdr:nvSpPr>
        <xdr:cNvPr id="5" name="Line 22"/>
        <xdr:cNvSpPr>
          <a:spLocks/>
        </xdr:cNvSpPr>
      </xdr:nvSpPr>
      <xdr:spPr>
        <a:xfrm flipH="1">
          <a:off x="8353425" y="157829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109</xdr:row>
      <xdr:rowOff>0</xdr:rowOff>
    </xdr:from>
    <xdr:to>
      <xdr:col>10</xdr:col>
      <xdr:colOff>0</xdr:colOff>
      <xdr:row>110</xdr:row>
      <xdr:rowOff>0</xdr:rowOff>
    </xdr:to>
    <xdr:sp>
      <xdr:nvSpPr>
        <xdr:cNvPr id="6" name="Line 23"/>
        <xdr:cNvSpPr>
          <a:spLocks/>
        </xdr:cNvSpPr>
      </xdr:nvSpPr>
      <xdr:spPr>
        <a:xfrm flipH="1" flipV="1">
          <a:off x="8353425" y="154590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109</xdr:row>
      <xdr:rowOff>0</xdr:rowOff>
    </xdr:from>
    <xdr:to>
      <xdr:col>14</xdr:col>
      <xdr:colOff>0</xdr:colOff>
      <xdr:row>110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10801350" y="15459075"/>
          <a:ext cx="600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111</xdr:row>
      <xdr:rowOff>0</xdr:rowOff>
    </xdr:from>
    <xdr:to>
      <xdr:col>14</xdr:col>
      <xdr:colOff>0</xdr:colOff>
      <xdr:row>112</xdr:row>
      <xdr:rowOff>9525</xdr:rowOff>
    </xdr:to>
    <xdr:sp>
      <xdr:nvSpPr>
        <xdr:cNvPr id="8" name="Line 25"/>
        <xdr:cNvSpPr>
          <a:spLocks/>
        </xdr:cNvSpPr>
      </xdr:nvSpPr>
      <xdr:spPr>
        <a:xfrm>
          <a:off x="10801350" y="15782925"/>
          <a:ext cx="6000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58</xdr:row>
      <xdr:rowOff>0</xdr:rowOff>
    </xdr:from>
    <xdr:to>
      <xdr:col>6</xdr:col>
      <xdr:colOff>9525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143625" y="9715500"/>
          <a:ext cx="790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6</xdr:col>
      <xdr:colOff>0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6143625" y="9067800"/>
          <a:ext cx="781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12</xdr:col>
      <xdr:colOff>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9791700" y="9067800"/>
          <a:ext cx="7810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161925</xdr:rowOff>
    </xdr:from>
    <xdr:to>
      <xdr:col>12</xdr:col>
      <xdr:colOff>0</xdr:colOff>
      <xdr:row>59</xdr:row>
      <xdr:rowOff>0</xdr:rowOff>
    </xdr:to>
    <xdr:sp>
      <xdr:nvSpPr>
        <xdr:cNvPr id="4" name="Line 4"/>
        <xdr:cNvSpPr>
          <a:spLocks/>
        </xdr:cNvSpPr>
      </xdr:nvSpPr>
      <xdr:spPr>
        <a:xfrm>
          <a:off x="9791700" y="9715500"/>
          <a:ext cx="7810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6</xdr:col>
      <xdr:colOff>9525</xdr:colOff>
      <xdr:row>97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143625" y="15744825"/>
          <a:ext cx="790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6</xdr:col>
      <xdr:colOff>0</xdr:colOff>
      <xdr:row>93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6143625" y="15097125"/>
          <a:ext cx="781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12</xdr:col>
      <xdr:colOff>0</xdr:colOff>
      <xdr:row>93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9791700" y="15097125"/>
          <a:ext cx="7810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95</xdr:row>
      <xdr:rowOff>161925</xdr:rowOff>
    </xdr:from>
    <xdr:to>
      <xdr:col>12</xdr:col>
      <xdr:colOff>0</xdr:colOff>
      <xdr:row>97</xdr:row>
      <xdr:rowOff>0</xdr:rowOff>
    </xdr:to>
    <xdr:sp>
      <xdr:nvSpPr>
        <xdr:cNvPr id="8" name="Line 8"/>
        <xdr:cNvSpPr>
          <a:spLocks/>
        </xdr:cNvSpPr>
      </xdr:nvSpPr>
      <xdr:spPr>
        <a:xfrm>
          <a:off x="9791700" y="15744825"/>
          <a:ext cx="7810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24</xdr:col>
      <xdr:colOff>9525</xdr:colOff>
      <xdr:row>58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9078575" y="9553575"/>
          <a:ext cx="619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24</xdr:col>
      <xdr:colOff>0</xdr:colOff>
      <xdr:row>54</xdr:row>
      <xdr:rowOff>9525</xdr:rowOff>
    </xdr:to>
    <xdr:sp>
      <xdr:nvSpPr>
        <xdr:cNvPr id="10" name="Line 10"/>
        <xdr:cNvSpPr>
          <a:spLocks/>
        </xdr:cNvSpPr>
      </xdr:nvSpPr>
      <xdr:spPr>
        <a:xfrm flipH="1" flipV="1">
          <a:off x="19078575" y="8905875"/>
          <a:ext cx="609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53</xdr:row>
      <xdr:rowOff>0</xdr:rowOff>
    </xdr:from>
    <xdr:to>
      <xdr:col>30</xdr:col>
      <xdr:colOff>0</xdr:colOff>
      <xdr:row>54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2736175" y="89058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56</xdr:row>
      <xdr:rowOff>161925</xdr:rowOff>
    </xdr:from>
    <xdr:to>
      <xdr:col>30</xdr:col>
      <xdr:colOff>0</xdr:colOff>
      <xdr:row>58</xdr:row>
      <xdr:rowOff>0</xdr:rowOff>
    </xdr:to>
    <xdr:sp>
      <xdr:nvSpPr>
        <xdr:cNvPr id="12" name="Line 12"/>
        <xdr:cNvSpPr>
          <a:spLocks/>
        </xdr:cNvSpPr>
      </xdr:nvSpPr>
      <xdr:spPr>
        <a:xfrm>
          <a:off x="22736175" y="95535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Y306"/>
  <sheetViews>
    <sheetView tabSelected="1" zoomScalePageLayoutView="0" workbookViewId="0" topLeftCell="A5">
      <selection activeCell="G218" sqref="G218"/>
    </sheetView>
  </sheetViews>
  <sheetFormatPr defaultColWidth="9.140625" defaultRowHeight="12.75"/>
  <cols>
    <col min="1" max="1" width="4.00390625" style="0" customWidth="1"/>
    <col min="2" max="2" width="38.140625" style="0" customWidth="1"/>
    <col min="3" max="3" width="8.57421875" style="0" customWidth="1"/>
    <col min="5" max="5" width="22.7109375" style="0" customWidth="1"/>
    <col min="7" max="7" width="14.140625" style="0" customWidth="1"/>
    <col min="8" max="8" width="8.421875" style="0" customWidth="1"/>
    <col min="9" max="9" width="11.00390625" style="0" customWidth="1"/>
    <col min="18" max="18" width="53.00390625" style="0" bestFit="1" customWidth="1"/>
    <col min="21" max="21" width="36.7109375" style="0" customWidth="1"/>
    <col min="36" max="36" width="10.8515625" style="0" customWidth="1"/>
  </cols>
  <sheetData>
    <row r="1" spans="2:5" ht="12.75">
      <c r="B1" s="568" t="s">
        <v>706</v>
      </c>
      <c r="E1" s="65" t="s">
        <v>574</v>
      </c>
    </row>
    <row r="2" spans="2:5" ht="12.75">
      <c r="B2" s="208" t="s">
        <v>260</v>
      </c>
      <c r="E2" s="65" t="s">
        <v>573</v>
      </c>
    </row>
    <row r="3" spans="1:6" ht="15.75">
      <c r="A3" s="1">
        <v>1</v>
      </c>
      <c r="B3" s="1" t="s">
        <v>513</v>
      </c>
      <c r="C3" s="209"/>
      <c r="E3" t="s">
        <v>366</v>
      </c>
      <c r="F3" t="s">
        <v>708</v>
      </c>
    </row>
    <row r="4" spans="1:10" ht="12.75">
      <c r="A4" t="s">
        <v>21</v>
      </c>
      <c r="B4" t="s">
        <v>12</v>
      </c>
      <c r="C4" s="84"/>
      <c r="F4" t="s">
        <v>707</v>
      </c>
      <c r="J4" s="84"/>
    </row>
    <row r="5" spans="44:51" ht="12.75">
      <c r="AR5" s="112" t="s">
        <v>331</v>
      </c>
      <c r="AU5" s="145">
        <f>AB18</f>
        <v>0</v>
      </c>
      <c r="AV5" s="145"/>
      <c r="AW5" s="145"/>
      <c r="AX5" s="145"/>
      <c r="AY5" s="145"/>
    </row>
    <row r="6" spans="1:49" ht="15.75">
      <c r="A6" t="s">
        <v>22</v>
      </c>
      <c r="B6" s="7" t="s">
        <v>16</v>
      </c>
      <c r="C6" s="84"/>
      <c r="D6" t="s">
        <v>17</v>
      </c>
      <c r="E6" t="s">
        <v>368</v>
      </c>
      <c r="F6" s="376" t="str">
        <f>IF(OR(C6&lt;1,C6&gt;240),"WARNING: TREATMENT REQUIRED"," ")</f>
        <v>WARNING: TREATMENT REQUIRED</v>
      </c>
      <c r="I6" s="398">
        <f>IF(OR(C6&lt;1,C6&gt;240),1,"")</f>
        <v>1</v>
      </c>
      <c r="AR6" s="107">
        <f>AB28</f>
        <v>0</v>
      </c>
      <c r="AT6" s="10"/>
      <c r="AU6">
        <f>AC18</f>
        <v>0</v>
      </c>
      <c r="AV6" s="10" t="s">
        <v>665</v>
      </c>
      <c r="AW6" s="212"/>
    </row>
    <row r="7" spans="2:49" ht="25.5">
      <c r="B7" s="7" t="s">
        <v>540</v>
      </c>
      <c r="C7" s="85"/>
      <c r="D7" s="147">
        <f>IF(OR(C7="N",C7=""),"","REVISE Perc Rate to minimum180 for Vertisols/Vertic soils")</f>
      </c>
      <c r="E7" s="379"/>
      <c r="F7" s="379"/>
      <c r="G7" s="379"/>
      <c r="I7" s="398"/>
      <c r="AQ7" s="159" t="s">
        <v>326</v>
      </c>
      <c r="AR7" s="165" t="s">
        <v>329</v>
      </c>
      <c r="AS7" s="160" t="s">
        <v>327</v>
      </c>
      <c r="AT7" s="166" t="s">
        <v>325</v>
      </c>
      <c r="AU7" s="160" t="s">
        <v>328</v>
      </c>
      <c r="AV7" s="21" t="s">
        <v>330</v>
      </c>
      <c r="AW7" s="4"/>
    </row>
    <row r="8" spans="2:9" ht="13.5" thickBot="1">
      <c r="B8" s="7"/>
      <c r="C8" s="379"/>
      <c r="D8" s="26">
        <f>IF(AND(C7="Y",C6&lt;180),"Adjust C6 line B to min.180 mpi because of vertic soils","")</f>
      </c>
      <c r="E8" s="379"/>
      <c r="F8" s="379"/>
      <c r="G8" s="379"/>
      <c r="I8" s="398"/>
    </row>
    <row r="9" spans="1:47" ht="14.25" thickBot="1" thickTop="1">
      <c r="A9" t="s">
        <v>23</v>
      </c>
      <c r="B9" t="s">
        <v>38</v>
      </c>
      <c r="C9" s="377" t="e">
        <f>VLOOKUP(C6,'Table 3 - 3A'!B10:C251,2)</f>
        <v>#N/A</v>
      </c>
      <c r="D9" t="s">
        <v>39</v>
      </c>
      <c r="E9" t="s">
        <v>369</v>
      </c>
      <c r="G9" s="370">
        <f>IF(J4&gt;0,IF(C4&gt;0,"Delete '# of Bedrooms' or 'Total Project Sq.Ft.'",""),"")</f>
      </c>
      <c r="I9" s="399"/>
      <c r="AQ9" s="147"/>
      <c r="AR9" s="147"/>
      <c r="AT9" s="510">
        <f>AC78</f>
        <v>0</v>
      </c>
      <c r="AU9" s="147" t="s">
        <v>644</v>
      </c>
    </row>
    <row r="10" spans="2:47" ht="12.75" customHeight="1" thickTop="1">
      <c r="B10" t="s">
        <v>512</v>
      </c>
      <c r="C10" s="83" t="e">
        <f>IF(J4="",IF(C9*C4&gt;300,C9*C4,300),J4)</f>
        <v>#N/A</v>
      </c>
      <c r="D10" t="s">
        <v>39</v>
      </c>
      <c r="E10" s="504" t="e">
        <f>IF(C4*C9&lt;300,"Minimum EDF dwellings is 300 sq.ft.","")</f>
        <v>#N/A</v>
      </c>
      <c r="P10" s="10"/>
      <c r="AQ10" s="151"/>
      <c r="AR10" s="209"/>
      <c r="AS10" s="209"/>
      <c r="AT10" s="209"/>
      <c r="AU10" s="209"/>
    </row>
    <row r="11" spans="1:49" ht="24.75" customHeight="1">
      <c r="A11" t="s">
        <v>28</v>
      </c>
      <c r="B11" s="511" t="s">
        <v>570</v>
      </c>
      <c r="C11" s="400"/>
      <c r="E11" s="604" t="s">
        <v>704</v>
      </c>
      <c r="F11" s="605"/>
      <c r="G11" s="605"/>
      <c r="H11" s="605"/>
      <c r="I11" s="605"/>
      <c r="AQ11" s="167"/>
      <c r="AR11" s="157" t="s">
        <v>311</v>
      </c>
      <c r="AS11" s="155" t="s">
        <v>301</v>
      </c>
      <c r="AT11" s="184">
        <f>AT9</f>
        <v>0</v>
      </c>
      <c r="AU11" t="s">
        <v>313</v>
      </c>
      <c r="AW11" s="209"/>
    </row>
    <row r="12" spans="2:49" ht="12.75">
      <c r="B12" s="414" t="s">
        <v>622</v>
      </c>
      <c r="C12" s="400"/>
      <c r="D12" t="s">
        <v>14</v>
      </c>
      <c r="E12" t="s">
        <v>367</v>
      </c>
      <c r="F12" s="401" t="str">
        <f>IF(C12&gt;0,"C12 Must be &lt;=0",IF(I6=1,"PERC &lt;1 OR &gt;240 MUST PRETREAT",IF(AND(C11="A",J13&gt;0),"ASHES&lt;6 MUST PRETREAT",IF(AND(C11="HR",J13&gt;0),"ROCK&lt;12 MUST PRETREAT",""))))</f>
        <v>PERC &lt;1 OR &gt;240 MUST PRETREAT</v>
      </c>
      <c r="G12" s="26"/>
      <c r="AQ12" s="100"/>
      <c r="AR12" s="65" t="s">
        <v>312</v>
      </c>
      <c r="AS12" s="155" t="s">
        <v>303</v>
      </c>
      <c r="AT12" s="172"/>
      <c r="AU12" s="83" t="s">
        <v>332</v>
      </c>
      <c r="AV12" s="151" t="s">
        <v>292</v>
      </c>
      <c r="AW12" s="151" t="s">
        <v>310</v>
      </c>
    </row>
    <row r="13" spans="2:47" ht="12.75">
      <c r="B13" s="415" t="s">
        <v>621</v>
      </c>
      <c r="C13" s="375"/>
      <c r="F13" s="569">
        <f>IF(AND(OR(C11="A",C11="HR",C11="O"),OR(C12="",C12=" ")),"WARNING  C12 is Blank-Enter Value in C12","")</f>
      </c>
      <c r="J13" s="546">
        <f>IF(OR(C12=" ",C12=""),0,IF(C11="A",C12+6,IF(C11="HR",C12+12,IF(C11="O",C12+12))))</f>
        <v>0</v>
      </c>
      <c r="AQ13" s="167"/>
      <c r="AR13" s="65" t="s">
        <v>314</v>
      </c>
      <c r="AT13" s="200">
        <f>AT11*AT12</f>
        <v>0</v>
      </c>
      <c r="AU13" s="10"/>
    </row>
    <row r="14" spans="1:47" ht="12.75">
      <c r="A14" t="s">
        <v>30</v>
      </c>
      <c r="B14" s="10" t="s">
        <v>615</v>
      </c>
      <c r="C14" s="516"/>
      <c r="E14" s="51" t="s">
        <v>40</v>
      </c>
      <c r="F14" s="376" t="str">
        <f>IF(AND(C15="Y",C14="N"),"&lt;GO NO FURTHER - TREATMENT IS REQUIRED-MARK 'Y'"," ")</f>
        <v> </v>
      </c>
      <c r="I14" s="399"/>
      <c r="AQ14" s="100"/>
      <c r="AR14" s="152" t="s">
        <v>315</v>
      </c>
      <c r="AS14" s="155" t="s">
        <v>46</v>
      </c>
      <c r="AT14" s="200">
        <f>CEILING(AT13,10)</f>
        <v>0</v>
      </c>
      <c r="AU14" s="82" t="s">
        <v>316</v>
      </c>
    </row>
    <row r="15" spans="1:49" ht="12.75">
      <c r="A15" t="s">
        <v>32</v>
      </c>
      <c r="B15" s="10" t="s">
        <v>616</v>
      </c>
      <c r="C15" s="416"/>
      <c r="E15" s="401" t="str">
        <f>IF(I6=1,"PERC &lt;1 OR &gt;240 MUST PRETREAT",IF(AND(C11="A",G12&gt;0),"ASHES&lt;6 MUST PRETREAT",IF(AND(C11="R",G12&gt;0),"ROCK&lt;12 MUST PRETREAT","")))</f>
        <v>PERC &lt;1 OR &gt;240 MUST PRETREAT</v>
      </c>
      <c r="I15" s="399"/>
      <c r="AQ15" s="168"/>
      <c r="AR15" s="216"/>
      <c r="AS15" s="155"/>
      <c r="AT15" s="200"/>
      <c r="AU15" s="82"/>
      <c r="AW15" s="209"/>
    </row>
    <row r="16" spans="2:49" ht="12.75">
      <c r="B16" s="402" t="s">
        <v>541</v>
      </c>
      <c r="C16" s="423">
        <f>Calc!J5</f>
        <v>0</v>
      </c>
      <c r="D16" t="s">
        <v>14</v>
      </c>
      <c r="F16" s="10"/>
      <c r="G16" s="26" t="str">
        <f>IF(OR(C16="",C16=" ")," ",IF(AND(C16+12&gt;0,C16&lt;6),"TREATMENT REQUIRED"," "))</f>
        <v>TREATMENT REQUIRED</v>
      </c>
      <c r="AQ16" s="100"/>
      <c r="AR16" s="96" t="s">
        <v>319</v>
      </c>
      <c r="AS16" s="155" t="s">
        <v>301</v>
      </c>
      <c r="AT16" s="184">
        <f>AT9</f>
        <v>0</v>
      </c>
      <c r="AU16" t="s">
        <v>313</v>
      </c>
      <c r="AV16" s="152" t="s">
        <v>317</v>
      </c>
      <c r="AW16" s="152" t="s">
        <v>322</v>
      </c>
    </row>
    <row r="17" spans="2:49" ht="12" customHeight="1">
      <c r="B17" t="s">
        <v>571</v>
      </c>
      <c r="C17" s="506">
        <f>C16+C12</f>
        <v>0</v>
      </c>
      <c r="D17" s="65" t="s">
        <v>705</v>
      </c>
      <c r="I17" s="410" t="str">
        <f>IF(AND(C17&gt;-1,C17&lt;6),"TRENCH BOTTOM is 0 - 6 in","")</f>
        <v>TRENCH BOTTOM is 0 - 6 in</v>
      </c>
      <c r="AQ17" s="100"/>
      <c r="AR17" s="65" t="s">
        <v>302</v>
      </c>
      <c r="AS17" s="155" t="s">
        <v>303</v>
      </c>
      <c r="AT17" s="172"/>
      <c r="AU17" s="83" t="s">
        <v>318</v>
      </c>
      <c r="AV17" s="151" t="s">
        <v>294</v>
      </c>
      <c r="AW17" s="152" t="s">
        <v>295</v>
      </c>
    </row>
    <row r="18" spans="2:49" ht="12" customHeight="1">
      <c r="B18" t="s">
        <v>572</v>
      </c>
      <c r="C18" s="423">
        <f>IF(AND(C17&gt;-1,C17&lt;6),6,C17)</f>
        <v>6</v>
      </c>
      <c r="D18" s="410" t="str">
        <f>IF(AND(C17&gt;-1,C17&lt;6),"ADJUSTED mound height so TRENCH BOTTOM is ELEVATED to 6"" ABOVE GRADE","")</f>
        <v>ADJUSTED mound height so TRENCH BOTTOM is ELEVATED to 6" ABOVE GRADE</v>
      </c>
      <c r="AQ18" s="100"/>
      <c r="AR18" s="65" t="s">
        <v>305</v>
      </c>
      <c r="AS18" s="155" t="s">
        <v>304</v>
      </c>
      <c r="AT18" s="172"/>
      <c r="AU18" s="83" t="s">
        <v>318</v>
      </c>
      <c r="AV18" s="151" t="s">
        <v>297</v>
      </c>
      <c r="AW18" s="153" t="s">
        <v>298</v>
      </c>
    </row>
    <row r="19" spans="6:49" ht="12.75" customHeight="1">
      <c r="F19" s="82"/>
      <c r="G19" s="10"/>
      <c r="H19" s="10"/>
      <c r="I19" s="10"/>
      <c r="J19" s="10"/>
      <c r="K19" s="10"/>
      <c r="L19" s="10"/>
      <c r="M19" s="10"/>
      <c r="N19" s="10"/>
      <c r="O19" s="10"/>
      <c r="P19" s="10"/>
      <c r="AQ19" s="100"/>
      <c r="AR19" s="65" t="s">
        <v>308</v>
      </c>
      <c r="AS19" s="156" t="s">
        <v>309</v>
      </c>
      <c r="AT19" s="200" t="e">
        <f>(AT16*AT17)/AT18</f>
        <v>#DIV/0!</v>
      </c>
      <c r="AU19" t="s">
        <v>320</v>
      </c>
      <c r="AV19" s="151" t="s">
        <v>299</v>
      </c>
      <c r="AW19" s="152" t="s">
        <v>300</v>
      </c>
    </row>
    <row r="20" spans="6:49" ht="12.75">
      <c r="F20" s="82"/>
      <c r="G20" s="10"/>
      <c r="H20" s="10"/>
      <c r="I20" s="10"/>
      <c r="J20" s="10"/>
      <c r="K20" s="10"/>
      <c r="L20" s="10"/>
      <c r="M20" s="10"/>
      <c r="N20" s="10"/>
      <c r="O20" s="10"/>
      <c r="P20" s="10"/>
      <c r="AQ20" s="100"/>
      <c r="AR20" s="65" t="s">
        <v>307</v>
      </c>
      <c r="AS20" s="155" t="s">
        <v>37</v>
      </c>
      <c r="AT20" s="172">
        <v>75</v>
      </c>
      <c r="AU20" t="s">
        <v>14</v>
      </c>
      <c r="AV20" s="151" t="s">
        <v>293</v>
      </c>
      <c r="AW20" s="152" t="s">
        <v>296</v>
      </c>
    </row>
    <row r="21" spans="1:47" ht="12.75">
      <c r="A21" t="s">
        <v>24</v>
      </c>
      <c r="B21" t="s">
        <v>18</v>
      </c>
      <c r="C21" s="84"/>
      <c r="D21" t="s">
        <v>19</v>
      </c>
      <c r="E21" t="s">
        <v>20</v>
      </c>
      <c r="G21" s="595" t="e">
        <f>ROUNDUP(C10/C21,0.5)</f>
        <v>#N/A</v>
      </c>
      <c r="AQ21" s="100"/>
      <c r="AR21" s="154" t="s">
        <v>306</v>
      </c>
      <c r="AS21" s="155" t="s">
        <v>46</v>
      </c>
      <c r="AT21" s="200" t="e">
        <f>(AT19*AT20)/12</f>
        <v>#DIV/0!</v>
      </c>
      <c r="AU21" t="s">
        <v>321</v>
      </c>
    </row>
    <row r="22" spans="1:44" ht="12.75">
      <c r="A22" t="s">
        <v>25</v>
      </c>
      <c r="B22" s="10" t="s">
        <v>26</v>
      </c>
      <c r="C22" s="378">
        <f>C21/2</f>
        <v>0</v>
      </c>
      <c r="D22" t="s">
        <v>19</v>
      </c>
      <c r="E22" t="s">
        <v>27</v>
      </c>
      <c r="F22" s="151" t="str">
        <f>"NOTE: If "&amp;C21&amp;"' trench used, center line of pipe is "&amp;C22&amp;"' from each side"</f>
        <v>NOTE: If ' trench used, center line of pipe is 0' from each side</v>
      </c>
      <c r="G22" s="218"/>
      <c r="H22" s="218"/>
      <c r="I22" s="218"/>
      <c r="J22" s="218"/>
      <c r="K22" s="218"/>
      <c r="L22" s="218"/>
      <c r="M22" s="218"/>
      <c r="N22" s="218"/>
      <c r="O22" s="218"/>
      <c r="AQ22" s="100"/>
      <c r="AR22" s="209"/>
    </row>
    <row r="23" spans="43:46" ht="12.75">
      <c r="AQ23" s="100"/>
      <c r="AR23" s="229" t="s">
        <v>415</v>
      </c>
      <c r="AS23" s="230" t="s">
        <v>413</v>
      </c>
      <c r="AT23" s="158" t="s">
        <v>414</v>
      </c>
    </row>
    <row r="24" ht="12.75">
      <c r="B24" s="26" t="e">
        <f>IF(AND(B28&lt;&gt;"12 IN. Deep Gravel w/4 in. pipe",OR(C14="Y",C15="Y")),"TREATMENT - NO Product Reduction Allowed - Adjusted to Reflect Actual LF Required Before Treatment","")</f>
        <v>#N/A</v>
      </c>
    </row>
    <row r="25" spans="1:9" ht="15.75">
      <c r="A25" s="387" t="s">
        <v>111</v>
      </c>
      <c r="B25" s="566" t="s">
        <v>703</v>
      </c>
      <c r="C25" s="418"/>
      <c r="D25" s="393"/>
      <c r="E25" s="393"/>
      <c r="F25" s="419"/>
      <c r="G25" s="567"/>
      <c r="H25" s="564">
        <f>Products!B82</f>
        <v>0</v>
      </c>
      <c r="I25" s="391"/>
    </row>
    <row r="26" spans="2:9" ht="12.75">
      <c r="B26" s="420">
        <f>IF(H25&gt;1,"WARNING MORE THAN 1 PRODUCT SELECTED","")</f>
      </c>
      <c r="C26" s="54"/>
      <c r="D26" s="54"/>
      <c r="E26" s="54"/>
      <c r="F26" s="54" t="s">
        <v>530</v>
      </c>
      <c r="G26" s="412" t="s">
        <v>532</v>
      </c>
      <c r="I26" s="403"/>
    </row>
    <row r="27" spans="2:7" ht="12.75">
      <c r="B27" s="372"/>
      <c r="C27" s="66" t="s">
        <v>533</v>
      </c>
      <c r="D27" s="66" t="s">
        <v>534</v>
      </c>
      <c r="E27" s="66" t="s">
        <v>535</v>
      </c>
      <c r="F27" s="54" t="s">
        <v>515</v>
      </c>
      <c r="G27" s="412" t="s">
        <v>531</v>
      </c>
    </row>
    <row r="28" spans="2:7" ht="12.75">
      <c r="B28" s="413" t="e">
        <f>IF(H25&gt;1,"WARNING",VLOOKUP(H25,Products!B7:K80,2))</f>
        <v>#N/A</v>
      </c>
      <c r="C28" s="421" t="e">
        <f>IF(H25&gt;1,"",VLOOKUP(H25,Products!B7:K80,3))</f>
        <v>#N/A</v>
      </c>
      <c r="D28" s="421" t="e">
        <f>IF(H25&gt;1,"",VLOOKUP(H25,Products!B7:K80,4))</f>
        <v>#N/A</v>
      </c>
      <c r="E28" s="421" t="e">
        <f>IF(H25&gt;1,"",VLOOKUP(H25,Products!B7:K80,6))</f>
        <v>#N/A</v>
      </c>
      <c r="F28" s="421" t="e">
        <f>IF(H25&gt;1,"",VLOOKUP(H25,Products!B7:K80,8))</f>
        <v>#N/A</v>
      </c>
      <c r="G28" s="422" t="e">
        <f>IF(H25&gt;1,"",IF(OR(C14="Y",C15="Y"),VLOOKUP(H25,Products!B7:L80,11),VLOOKUP(H25,Products!B7:K80,10)))</f>
        <v>#N/A</v>
      </c>
    </row>
    <row r="29" spans="2:3" ht="12.75" customHeight="1">
      <c r="B29" t="s">
        <v>618</v>
      </c>
      <c r="C29" s="33" t="e">
        <f>IF(B28="12 in. Deep Gravel w/4 in. pipe","N","Y")</f>
        <v>#N/A</v>
      </c>
    </row>
    <row r="30" spans="1:6" ht="12.75">
      <c r="A30" t="s">
        <v>576</v>
      </c>
      <c r="B30" s="373" t="s">
        <v>29</v>
      </c>
      <c r="C30" s="103">
        <v>4</v>
      </c>
      <c r="D30" t="s">
        <v>14</v>
      </c>
      <c r="E30" s="51" t="s">
        <v>613</v>
      </c>
      <c r="F30" s="376"/>
    </row>
    <row r="31" spans="1:5" ht="12.75">
      <c r="A31" t="s">
        <v>577</v>
      </c>
      <c r="B31" s="373" t="s">
        <v>617</v>
      </c>
      <c r="C31" s="103" t="e">
        <f>C28</f>
        <v>#N/A</v>
      </c>
      <c r="D31" t="s">
        <v>14</v>
      </c>
      <c r="E31" s="401"/>
    </row>
    <row r="32" spans="1:5" ht="12.75">
      <c r="A32" t="s">
        <v>579</v>
      </c>
      <c r="B32" s="373" t="s">
        <v>578</v>
      </c>
      <c r="C32" s="103">
        <v>12</v>
      </c>
      <c r="D32" t="s">
        <v>14</v>
      </c>
      <c r="E32" s="505" t="s">
        <v>620</v>
      </c>
    </row>
    <row r="33" spans="1:5" ht="12.75">
      <c r="A33" t="s">
        <v>580</v>
      </c>
      <c r="B33" s="373" t="s">
        <v>581</v>
      </c>
      <c r="C33" s="426" t="e">
        <f>C18+C31+C32</f>
        <v>#N/A</v>
      </c>
      <c r="D33" t="s">
        <v>14</v>
      </c>
      <c r="E33" s="425" t="e">
        <f>C18&amp;" inch trench bottom elevation + "&amp;C31&amp;" inches product height + 12 inches minimum cover"</f>
        <v>#N/A</v>
      </c>
    </row>
    <row r="34" spans="1:8" ht="12.75">
      <c r="A34" t="s">
        <v>33</v>
      </c>
      <c r="B34" t="s">
        <v>539</v>
      </c>
      <c r="C34" s="570"/>
      <c r="D34" t="s">
        <v>614</v>
      </c>
      <c r="E34" s="10" t="s">
        <v>41</v>
      </c>
      <c r="H34" s="26" t="str">
        <f>IF(C34&lt;3,"&lt;3:1 NOT ALLOWED","")</f>
        <v>&lt;3:1 NOT ALLOWED</v>
      </c>
    </row>
    <row r="35" spans="1:8" ht="12.75">
      <c r="A35" t="s">
        <v>37</v>
      </c>
      <c r="B35" s="65" t="s">
        <v>387</v>
      </c>
      <c r="C35" s="84"/>
      <c r="E35" t="s">
        <v>336</v>
      </c>
      <c r="H35" s="26"/>
    </row>
    <row r="36" spans="1:8" ht="12.75">
      <c r="A36" t="s">
        <v>153</v>
      </c>
      <c r="B36" s="65" t="s">
        <v>647</v>
      </c>
      <c r="C36" s="84"/>
      <c r="E36" t="s">
        <v>336</v>
      </c>
      <c r="H36" s="26"/>
    </row>
    <row r="37" spans="1:5" ht="12.75">
      <c r="A37" s="10" t="s">
        <v>280</v>
      </c>
      <c r="B37" t="s">
        <v>34</v>
      </c>
      <c r="C37" s="3"/>
      <c r="E37" t="s">
        <v>582</v>
      </c>
    </row>
    <row r="38" spans="1:5" ht="12.75">
      <c r="A38" s="10"/>
      <c r="B38" t="s">
        <v>764</v>
      </c>
      <c r="C38" s="84"/>
      <c r="D38" t="s">
        <v>727</v>
      </c>
      <c r="E38" t="s">
        <v>766</v>
      </c>
    </row>
    <row r="39" spans="1:5" ht="12.75">
      <c r="A39" s="10"/>
      <c r="B39" t="s">
        <v>767</v>
      </c>
      <c r="C39" s="586">
        <f>IF(OR(C37="",C37=" ",C37=0,C38="",C38=" ",C38=0),"",(C37*C38)+C99)</f>
      </c>
      <c r="D39" t="s">
        <v>765</v>
      </c>
      <c r="E39" s="26">
        <f>IF(OR(C39="",C39=" ",C39=0),"",IF((C39*C21)/F28&lt;C10,"INSUFFICIENT LN.FT. TO MEET TOTAL "&amp;G28&amp;" LN.FT. REQUIRED",""))</f>
      </c>
    </row>
    <row r="40" spans="1:5" ht="12.75">
      <c r="A40" s="10" t="s">
        <v>372</v>
      </c>
      <c r="B40" t="s">
        <v>234</v>
      </c>
      <c r="C40" s="191" t="e">
        <f>C93</f>
        <v>#VALUE!</v>
      </c>
      <c r="D40" t="s">
        <v>291</v>
      </c>
      <c r="E40" s="15" t="s">
        <v>286</v>
      </c>
    </row>
    <row r="41" spans="1:5" ht="12.75">
      <c r="A41" s="10" t="s">
        <v>36</v>
      </c>
      <c r="B41" s="50" t="s">
        <v>411</v>
      </c>
      <c r="C41" s="191">
        <f>IF(C14="N",ROUNDUP(C79/100,0),ROUNDUP(C81/100,0))</f>
        <v>2</v>
      </c>
      <c r="E41" s="16" t="s">
        <v>782</v>
      </c>
    </row>
    <row r="42" spans="1:8" ht="12.75">
      <c r="A42" s="10" t="s">
        <v>127</v>
      </c>
      <c r="B42" t="s">
        <v>290</v>
      </c>
      <c r="C42" s="191">
        <f>IF(C14="N",ROUNDUP(((C79-C99)/C41),1),ROUNDUP(((C81-C99)/C41),1))</f>
        <v>100</v>
      </c>
      <c r="D42" t="s">
        <v>291</v>
      </c>
      <c r="E42" s="15" t="s">
        <v>783</v>
      </c>
      <c r="H42" s="26" t="e">
        <f>IF(C40&gt;100,"WARNING Laterals can NOT exceed 100'","")</f>
        <v>#VALUE!</v>
      </c>
    </row>
    <row r="43" spans="1:8" ht="12.75">
      <c r="A43" s="10" t="s">
        <v>134</v>
      </c>
      <c r="B43" s="51" t="s">
        <v>412</v>
      </c>
      <c r="C43" s="199" t="e">
        <f>IF(AND(C167&lt;C41,C164&lt;100.01),C181,C41)</f>
        <v>#DIV/0!</v>
      </c>
      <c r="E43" s="147" t="s">
        <v>287</v>
      </c>
      <c r="H43" s="26" t="e">
        <f>IF(C40&gt;100,"adjust Cell C35 to reduce line length","")</f>
        <v>#VALUE!</v>
      </c>
    </row>
    <row r="44" spans="1:5" ht="12.75">
      <c r="A44" s="10" t="s">
        <v>140</v>
      </c>
      <c r="B44" s="10" t="s">
        <v>324</v>
      </c>
      <c r="C44" s="199" t="e">
        <f>IF(C43=C41,C42,C182)</f>
        <v>#DIV/0!</v>
      </c>
      <c r="D44" t="s">
        <v>291</v>
      </c>
      <c r="E44" s="585"/>
    </row>
    <row r="47" spans="2:3" ht="12.75">
      <c r="B47" s="83" t="s">
        <v>382</v>
      </c>
      <c r="C47" s="6"/>
    </row>
    <row r="48" spans="1:5" ht="12.75">
      <c r="A48" t="s">
        <v>43</v>
      </c>
      <c r="B48" t="s">
        <v>38</v>
      </c>
      <c r="C48" s="191" t="e">
        <f>C9</f>
        <v>#N/A</v>
      </c>
      <c r="D48" t="s">
        <v>39</v>
      </c>
      <c r="E48" t="s">
        <v>42</v>
      </c>
    </row>
    <row r="50" spans="1:11" ht="12.75">
      <c r="A50" s="10" t="s">
        <v>48</v>
      </c>
      <c r="B50" s="106"/>
      <c r="C50" s="215"/>
      <c r="D50" s="215"/>
      <c r="E50" s="17"/>
      <c r="F50" s="105" t="s">
        <v>44</v>
      </c>
      <c r="G50" s="10"/>
      <c r="H50" s="10"/>
      <c r="I50" s="10"/>
      <c r="J50" s="10"/>
      <c r="K50" s="10"/>
    </row>
    <row r="51" spans="1:11" ht="12.75">
      <c r="A51" s="25" t="s">
        <v>49</v>
      </c>
      <c r="B51" s="104" t="s">
        <v>623</v>
      </c>
      <c r="C51" s="191" t="e">
        <f>C18+C28+12</f>
        <v>#N/A</v>
      </c>
      <c r="D51" s="25" t="s">
        <v>14</v>
      </c>
      <c r="E51" s="25" t="s">
        <v>619</v>
      </c>
      <c r="F51" s="25"/>
      <c r="G51" s="25"/>
      <c r="H51" s="25"/>
      <c r="I51" s="25"/>
      <c r="J51" s="25"/>
      <c r="K51" s="25"/>
    </row>
    <row r="52" spans="1:11" ht="12.75">
      <c r="A52" s="25" t="s">
        <v>50</v>
      </c>
      <c r="B52" s="121" t="s">
        <v>362</v>
      </c>
      <c r="C52" s="191">
        <f>((C18+12+12)/12)*C34</f>
        <v>0</v>
      </c>
      <c r="D52" s="140" t="s">
        <v>46</v>
      </c>
      <c r="E52" s="25" t="s">
        <v>801</v>
      </c>
      <c r="F52" s="25"/>
      <c r="G52" s="25"/>
      <c r="H52" s="25"/>
      <c r="I52" s="25"/>
      <c r="J52" s="25"/>
      <c r="K52" s="25"/>
    </row>
    <row r="53" spans="1:11" ht="12.75">
      <c r="A53" s="25" t="s">
        <v>346</v>
      </c>
      <c r="B53" s="121" t="s">
        <v>361</v>
      </c>
      <c r="C53" s="191" t="e">
        <f>(C51/12)*C34</f>
        <v>#N/A</v>
      </c>
      <c r="D53" s="25" t="s">
        <v>46</v>
      </c>
      <c r="E53" s="507" t="s">
        <v>624</v>
      </c>
      <c r="F53" s="25"/>
      <c r="G53" s="25"/>
      <c r="H53" s="25"/>
      <c r="I53" s="25"/>
      <c r="J53" s="25"/>
      <c r="K53" s="25"/>
    </row>
    <row r="54" spans="1:11" ht="12.75">
      <c r="A54" s="25" t="s">
        <v>51</v>
      </c>
      <c r="B54" s="121" t="s">
        <v>47</v>
      </c>
      <c r="C54" s="193">
        <f>C18</f>
        <v>6</v>
      </c>
      <c r="D54" s="25" t="s">
        <v>14</v>
      </c>
      <c r="E54" s="25" t="s">
        <v>386</v>
      </c>
      <c r="F54" s="25"/>
      <c r="G54" s="25"/>
      <c r="H54" s="25"/>
      <c r="I54" s="25"/>
      <c r="J54" s="25"/>
      <c r="K54" s="25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spans="1:12" ht="15.75">
      <c r="A77" s="107" t="s">
        <v>717</v>
      </c>
      <c r="B77" s="107"/>
      <c r="C77" s="108"/>
      <c r="D77" s="107"/>
      <c r="E77" s="107"/>
      <c r="F77" s="107"/>
      <c r="G77" s="107"/>
      <c r="H77" s="107"/>
      <c r="I77" s="107"/>
      <c r="J77" s="107"/>
      <c r="K77" s="107"/>
      <c r="L77" s="107"/>
    </row>
    <row r="78" spans="1:12" ht="12.75">
      <c r="A78" s="10" t="s">
        <v>180</v>
      </c>
      <c r="B78" s="109" t="s">
        <v>643</v>
      </c>
      <c r="C78" s="390" t="e">
        <f>IF(OR(C4=" ",C4="",C4=0),C10,IF(C4*C9&gt;300,C4*C9,300))</f>
        <v>#N/A</v>
      </c>
      <c r="D78" s="10" t="s">
        <v>56</v>
      </c>
      <c r="E78" s="10" t="s">
        <v>57</v>
      </c>
      <c r="F78" s="10"/>
      <c r="G78" s="10"/>
      <c r="H78" s="10"/>
      <c r="I78" s="10"/>
      <c r="J78" s="10"/>
      <c r="K78" s="10"/>
      <c r="L78" s="10"/>
    </row>
    <row r="79" spans="1:12" ht="12.75">
      <c r="A79" s="10" t="s">
        <v>181</v>
      </c>
      <c r="B79" s="110" t="s">
        <v>58</v>
      </c>
      <c r="C79" s="191" t="e">
        <f>ROUNDUP(C78/C21,0.5)</f>
        <v>#N/A</v>
      </c>
      <c r="D79" s="10" t="s">
        <v>46</v>
      </c>
      <c r="E79" s="10" t="s">
        <v>59</v>
      </c>
      <c r="F79" s="10" t="s">
        <v>60</v>
      </c>
      <c r="G79" s="10"/>
      <c r="H79" s="10"/>
      <c r="I79" s="10"/>
      <c r="J79" s="10"/>
      <c r="K79" s="10"/>
      <c r="L79" s="10"/>
    </row>
    <row r="80" spans="1:12" ht="12.75">
      <c r="A80" s="587"/>
      <c r="B80" s="110" t="s">
        <v>791</v>
      </c>
      <c r="C80" s="191">
        <f>C39</f>
      </c>
      <c r="D80" s="10" t="s">
        <v>46</v>
      </c>
      <c r="E80" s="10"/>
      <c r="F80" s="10"/>
      <c r="G80" s="10"/>
      <c r="H80" s="10"/>
      <c r="I80" s="10"/>
      <c r="J80" s="10"/>
      <c r="K80" s="10"/>
      <c r="L80" s="10"/>
    </row>
    <row r="81" spans="1:21" ht="12.75">
      <c r="A81" s="587" t="s">
        <v>204</v>
      </c>
      <c r="B81" s="110" t="s">
        <v>798</v>
      </c>
      <c r="C81" s="576" t="str">
        <f>IF(C6&gt;120,C79*0.9,IF(C6&gt;60,C79*0.8,IF(C6&gt;30,C79*0.7,IF(C6&gt;15,C79*0.6,IF(C6&gt;4,C79*0.5,IF(C6&lt;5,"200"))))))</f>
        <v>200</v>
      </c>
      <c r="D81" s="10" t="s">
        <v>46</v>
      </c>
      <c r="E81" s="10" t="s">
        <v>61</v>
      </c>
      <c r="F81" s="10" t="s">
        <v>720</v>
      </c>
      <c r="G81" s="10"/>
      <c r="H81" s="10"/>
      <c r="I81" s="10"/>
      <c r="J81" s="10"/>
      <c r="K81" s="10"/>
      <c r="L81" s="10"/>
      <c r="Q81" s="100"/>
      <c r="R81" s="100"/>
      <c r="S81" s="100"/>
      <c r="T81" s="100"/>
      <c r="U81" s="100"/>
    </row>
    <row r="82" spans="1:18" ht="12.75">
      <c r="A82" s="10" t="s">
        <v>373</v>
      </c>
      <c r="B82" s="142" t="s">
        <v>274</v>
      </c>
      <c r="C82" s="195" t="e">
        <f>IF(C29="Y","Y","N")</f>
        <v>#N/A</v>
      </c>
      <c r="D82" s="10"/>
      <c r="E82" s="74" t="s">
        <v>718</v>
      </c>
      <c r="F82" s="9" t="s">
        <v>719</v>
      </c>
      <c r="G82" s="9"/>
      <c r="H82" s="9"/>
      <c r="I82" s="9"/>
      <c r="J82" s="9"/>
      <c r="K82" s="9"/>
      <c r="L82" s="9"/>
      <c r="M82" s="9"/>
      <c r="N82" s="9"/>
      <c r="O82" s="9"/>
      <c r="Q82" s="100"/>
      <c r="R82" s="145" t="s">
        <v>334</v>
      </c>
    </row>
    <row r="83" spans="1:21" ht="15">
      <c r="A83" s="10" t="s">
        <v>374</v>
      </c>
      <c r="B83" s="146" t="s">
        <v>277</v>
      </c>
      <c r="C83" s="194" t="e">
        <f>C78</f>
        <v>#N/A</v>
      </c>
      <c r="D83" s="10" t="s">
        <v>56</v>
      </c>
      <c r="E83" s="143" t="s">
        <v>664</v>
      </c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Q83" s="100"/>
      <c r="R83" s="508" t="e">
        <f>B28</f>
        <v>#N/A</v>
      </c>
      <c r="T83" s="565" t="e">
        <f>R83</f>
        <v>#N/A</v>
      </c>
      <c r="U83" s="565"/>
    </row>
    <row r="84" spans="1:21" ht="12.75">
      <c r="A84" s="10" t="s">
        <v>375</v>
      </c>
      <c r="B84" s="142" t="s">
        <v>768</v>
      </c>
      <c r="C84" s="195" t="e">
        <f>IF(AND(C82="Y",G28&gt;0),G28,"N.A.")</f>
        <v>#N/A</v>
      </c>
      <c r="D84" s="10" t="s">
        <v>46</v>
      </c>
      <c r="E84" s="74" t="s">
        <v>645</v>
      </c>
      <c r="F84" s="74"/>
      <c r="G84" s="74"/>
      <c r="H84" s="74"/>
      <c r="I84" s="10"/>
      <c r="J84" s="10"/>
      <c r="K84" s="10"/>
      <c r="L84" s="10"/>
      <c r="M84" s="10"/>
      <c r="N84" s="10"/>
      <c r="O84" s="10"/>
      <c r="Q84" s="100"/>
      <c r="R84" s="29" t="s">
        <v>651</v>
      </c>
      <c r="T84" s="33" t="e">
        <f>C10</f>
        <v>#N/A</v>
      </c>
      <c r="U84" t="s">
        <v>39</v>
      </c>
    </row>
    <row r="85" spans="1:21" ht="12.75">
      <c r="A85" s="10" t="s">
        <v>376</v>
      </c>
      <c r="B85" s="142"/>
      <c r="C85" s="573"/>
      <c r="D85" s="10"/>
      <c r="E85" s="572"/>
      <c r="F85" s="572"/>
      <c r="G85" s="10"/>
      <c r="H85" s="10"/>
      <c r="I85" s="10"/>
      <c r="J85" s="10"/>
      <c r="K85" s="10"/>
      <c r="L85" s="10"/>
      <c r="M85" s="10"/>
      <c r="N85" s="10"/>
      <c r="O85" s="10"/>
      <c r="Q85" s="100"/>
      <c r="R85" s="29" t="e">
        <f>"Total linear feet of "&amp;T83&amp;":"</f>
        <v>#N/A</v>
      </c>
      <c r="T85" s="33" t="e">
        <f>G28</f>
        <v>#N/A</v>
      </c>
      <c r="U85" t="s">
        <v>652</v>
      </c>
    </row>
    <row r="86" spans="1:20" ht="15.75">
      <c r="A86" s="107"/>
      <c r="B86" s="107"/>
      <c r="C86" s="6"/>
      <c r="D86" s="10"/>
      <c r="E86" s="11" t="s">
        <v>323</v>
      </c>
      <c r="F86" s="11"/>
      <c r="G86" s="11"/>
      <c r="H86" s="11"/>
      <c r="I86" s="10"/>
      <c r="J86" s="10"/>
      <c r="K86" s="10"/>
      <c r="L86" s="10"/>
      <c r="Q86" s="100"/>
      <c r="S86" s="522" t="s">
        <v>333</v>
      </c>
      <c r="T86" s="521" t="s">
        <v>628</v>
      </c>
    </row>
    <row r="87" spans="1:20" ht="12.75">
      <c r="A87" s="587" t="s">
        <v>185</v>
      </c>
      <c r="B87" s="147" t="s">
        <v>62</v>
      </c>
      <c r="C87" s="191" t="str">
        <f>IF(C14="N",C80,C81)</f>
        <v>200</v>
      </c>
      <c r="D87" s="10" t="s">
        <v>46</v>
      </c>
      <c r="E87" s="10" t="str">
        <f>IF(C14="N","based on 4 in. pipe &amp; gravel standard","based on 4 in. pipe &amp; gravel standard with treatment")</f>
        <v>based on 4 in. pipe &amp; gravel standard with treatment</v>
      </c>
      <c r="F87" s="10"/>
      <c r="G87" s="10"/>
      <c r="H87" s="10"/>
      <c r="I87" s="10"/>
      <c r="J87" s="10"/>
      <c r="K87" s="10"/>
      <c r="L87" s="10"/>
      <c r="Q87" s="100"/>
      <c r="R87" s="209"/>
      <c r="S87" s="522" t="s">
        <v>630</v>
      </c>
      <c r="T87" s="521" t="s">
        <v>629</v>
      </c>
    </row>
    <row r="88" spans="1:21" ht="24" customHeight="1">
      <c r="A88" s="107" t="s">
        <v>377</v>
      </c>
      <c r="B88" s="107" t="s">
        <v>335</v>
      </c>
      <c r="C88" s="49"/>
      <c r="D88" s="10"/>
      <c r="E88" s="10"/>
      <c r="F88" s="10"/>
      <c r="G88" s="10"/>
      <c r="H88" s="10"/>
      <c r="I88" s="10"/>
      <c r="J88" s="10"/>
      <c r="K88" s="10"/>
      <c r="L88" s="10"/>
      <c r="Q88" s="100"/>
      <c r="R88" s="18" t="s">
        <v>668</v>
      </c>
      <c r="S88" s="202" t="e">
        <f>ROUNDUP(C10/C21,0.5)</f>
        <v>#N/A</v>
      </c>
      <c r="T88" s="203" t="e">
        <f>G28</f>
        <v>#N/A</v>
      </c>
      <c r="U88" s="161" t="s">
        <v>653</v>
      </c>
    </row>
    <row r="89" spans="1:21" ht="12.75">
      <c r="A89" s="10" t="s">
        <v>380</v>
      </c>
      <c r="B89" s="10" t="s">
        <v>281</v>
      </c>
      <c r="C89" s="191">
        <f>C52*2</f>
        <v>0</v>
      </c>
      <c r="D89" s="10" t="s">
        <v>46</v>
      </c>
      <c r="E89" t="s">
        <v>799</v>
      </c>
      <c r="Q89" s="100"/>
      <c r="R89" t="s">
        <v>627</v>
      </c>
      <c r="S89" s="202" t="e">
        <f>ROUNDUP(S88/100,0)</f>
        <v>#N/A</v>
      </c>
      <c r="T89" s="203" t="e">
        <f>ROUNDUP(T88/100,0)</f>
        <v>#N/A</v>
      </c>
      <c r="U89" t="s">
        <v>640</v>
      </c>
    </row>
    <row r="90" spans="1:26" ht="27.75" customHeight="1">
      <c r="A90" s="1" t="s">
        <v>378</v>
      </c>
      <c r="G90" s="10"/>
      <c r="H90" s="10"/>
      <c r="I90" s="10"/>
      <c r="J90" s="10"/>
      <c r="K90" s="10"/>
      <c r="L90" s="10"/>
      <c r="M90" s="10"/>
      <c r="N90" s="10"/>
      <c r="O90" s="10"/>
      <c r="Q90" s="100"/>
      <c r="R90" t="s">
        <v>642</v>
      </c>
      <c r="S90" s="509"/>
      <c r="T90" s="509"/>
      <c r="U90" t="s">
        <v>641</v>
      </c>
      <c r="Z90" s="597" t="e">
        <f>IF(AND(S90&lt;1,S91&lt;1),S89*S92,IF(AND(S90&gt;0,S91&gt;0),S90*S91,IF(AND(S90&gt;0,S91&lt;1),S90*S92,IF(AND(S91&gt;0,S90&lt;1),S91*S89,S90*S91))))</f>
        <v>#N/A</v>
      </c>
    </row>
    <row r="91" spans="2:19" ht="15">
      <c r="B91" s="18" t="s">
        <v>63</v>
      </c>
      <c r="E91" s="10"/>
      <c r="Q91" s="100"/>
      <c r="R91" t="s">
        <v>772</v>
      </c>
      <c r="S91" s="509">
        <v>90</v>
      </c>
    </row>
    <row r="92" spans="1:26" ht="12.75">
      <c r="A92" t="s">
        <v>64</v>
      </c>
      <c r="B92" s="10" t="s">
        <v>769</v>
      </c>
      <c r="C92" s="191">
        <f>C37</f>
        <v>0</v>
      </c>
      <c r="E92" t="s">
        <v>68</v>
      </c>
      <c r="I92" s="113"/>
      <c r="J92" s="114"/>
      <c r="K92" s="114"/>
      <c r="L92" s="114"/>
      <c r="M92" s="114"/>
      <c r="N92" s="114"/>
      <c r="O92" s="115"/>
      <c r="Q92" s="100"/>
      <c r="R92" t="s">
        <v>771</v>
      </c>
      <c r="S92" s="202" t="e">
        <f>IF(OR(S90=0,S90="",S90=" "),ROUNDUP(S88/S89,0),ROUNDUP(S88/S90,0))</f>
        <v>#N/A</v>
      </c>
      <c r="T92" s="203" t="e">
        <f>IF(OR(T90=0,T90=""),ROUNDUP(T88/T89,0),ROUNDUP(T88/T90,0))</f>
        <v>#N/A</v>
      </c>
      <c r="U92" s="26" t="e">
        <f>IF(T92&gt;100,"WARNING - Exceeds maximum length of 100 ft.","Lateral length ft.")</f>
        <v>#N/A</v>
      </c>
      <c r="Z92" s="391"/>
    </row>
    <row r="93" spans="1:26" ht="15">
      <c r="A93" s="587" t="s">
        <v>65</v>
      </c>
      <c r="B93" t="s">
        <v>66</v>
      </c>
      <c r="C93" s="390" t="e">
        <f>IF(OR(C14="Y",C15="Y"),ROUNDUP(((C81-C99)/C37),0),ROUNDUP(((C39-C99)/C37),0))</f>
        <v>#VALUE!</v>
      </c>
      <c r="D93" t="s">
        <v>46</v>
      </c>
      <c r="E93" t="s">
        <v>69</v>
      </c>
      <c r="I93" s="116"/>
      <c r="J93" s="37"/>
      <c r="K93" s="38"/>
      <c r="L93" s="38"/>
      <c r="M93" s="38"/>
      <c r="N93" s="39"/>
      <c r="O93" s="117"/>
      <c r="Q93" s="100"/>
      <c r="R93" s="18" t="s">
        <v>631</v>
      </c>
      <c r="U93" s="518">
        <f>IF(OR(S94+S95&gt;2,T94+T95&gt;2),"CANNOT EXCEED 2 Headers","")</f>
      </c>
      <c r="Z93" s="391"/>
    </row>
    <row r="94" spans="1:26" ht="12.75" customHeight="1">
      <c r="A94" t="s">
        <v>67</v>
      </c>
      <c r="B94" t="s">
        <v>721</v>
      </c>
      <c r="C94" s="192" t="e">
        <f>C93*C37</f>
        <v>#VALUE!</v>
      </c>
      <c r="D94" t="s">
        <v>46</v>
      </c>
      <c r="I94" s="116"/>
      <c r="J94" s="40"/>
      <c r="K94" s="36"/>
      <c r="L94" s="513" t="s">
        <v>162</v>
      </c>
      <c r="M94" s="23"/>
      <c r="N94" s="41"/>
      <c r="O94" s="117"/>
      <c r="Q94" s="100"/>
      <c r="R94" s="83" t="s">
        <v>347</v>
      </c>
      <c r="S94" s="524">
        <v>1</v>
      </c>
      <c r="T94" s="523">
        <v>1</v>
      </c>
      <c r="U94" s="26">
        <f>IF(OR(S94&gt;2,T94&gt;2,S95&gt;2,T95&gt;2),"CANNOT EXCEED 2","")</f>
      </c>
      <c r="Z94" s="391"/>
    </row>
    <row r="95" spans="1:26" ht="15" customHeight="1">
      <c r="A95" s="18" t="s">
        <v>379</v>
      </c>
      <c r="B95" s="19"/>
      <c r="C95" s="209"/>
      <c r="I95" s="116"/>
      <c r="J95" s="42"/>
      <c r="K95" s="43"/>
      <c r="L95" s="514" t="s">
        <v>75</v>
      </c>
      <c r="M95" s="43"/>
      <c r="N95" s="44"/>
      <c r="O95" s="117"/>
      <c r="Q95" s="100"/>
      <c r="R95" s="83" t="s">
        <v>775</v>
      </c>
      <c r="S95" s="33">
        <f>C97</f>
        <v>0</v>
      </c>
      <c r="T95" s="524"/>
      <c r="U95" t="s">
        <v>348</v>
      </c>
      <c r="Z95" s="391"/>
    </row>
    <row r="96" spans="1:21" ht="12.75">
      <c r="A96" t="s">
        <v>70</v>
      </c>
      <c r="B96" s="65" t="s">
        <v>387</v>
      </c>
      <c r="C96" s="191">
        <f>C35</f>
        <v>0</v>
      </c>
      <c r="D96" s="587"/>
      <c r="E96" t="s">
        <v>780</v>
      </c>
      <c r="I96" s="118"/>
      <c r="J96" s="119"/>
      <c r="K96" s="119"/>
      <c r="L96" s="515" t="s">
        <v>105</v>
      </c>
      <c r="M96" s="119"/>
      <c r="N96" s="119"/>
      <c r="O96" s="120"/>
      <c r="Q96" s="100"/>
      <c r="R96" s="138" t="s">
        <v>776</v>
      </c>
      <c r="S96" s="33">
        <f>C21</f>
        <v>0</v>
      </c>
      <c r="T96" s="171" t="e">
        <f>D28/12</f>
        <v>#N/A</v>
      </c>
      <c r="U96" t="s">
        <v>349</v>
      </c>
    </row>
    <row r="97" spans="1:21" ht="12.75">
      <c r="A97" t="s">
        <v>245</v>
      </c>
      <c r="B97" s="65" t="s">
        <v>647</v>
      </c>
      <c r="C97" s="191">
        <f>C36</f>
        <v>0</v>
      </c>
      <c r="D97" s="587"/>
      <c r="E97" t="s">
        <v>781</v>
      </c>
      <c r="Q97" s="100"/>
      <c r="R97" s="83" t="s">
        <v>654</v>
      </c>
      <c r="S97" s="110"/>
      <c r="T97" s="110"/>
      <c r="U97" s="164"/>
    </row>
    <row r="98" spans="1:22" ht="12.75">
      <c r="A98" t="s">
        <v>71</v>
      </c>
      <c r="B98" t="s">
        <v>646</v>
      </c>
      <c r="C98" s="390">
        <f>IF(C96&gt;0,((C37-1)*5)+(C41*3),0)</f>
        <v>0</v>
      </c>
      <c r="D98" t="s">
        <v>46</v>
      </c>
      <c r="E98" t="s">
        <v>667</v>
      </c>
      <c r="Q98" s="100"/>
      <c r="R98" t="s">
        <v>632</v>
      </c>
      <c r="S98" s="204" t="e">
        <f>IF(S90&gt;0,((S90-1)*5)+(S96*S90),((S89-1)*5)+(S96*S89))</f>
        <v>#N/A</v>
      </c>
      <c r="T98" s="203" t="e">
        <f>((T89-1)*5)+(D28/12*T89)</f>
        <v>#N/A</v>
      </c>
      <c r="U98" s="164" t="s">
        <v>633</v>
      </c>
      <c r="V98" s="391"/>
    </row>
    <row r="99" spans="1:22" ht="12.75">
      <c r="A99" s="587" t="s">
        <v>246</v>
      </c>
      <c r="B99" t="s">
        <v>648</v>
      </c>
      <c r="C99" s="390">
        <f>IF(C97&gt;0,(C37-1)*(5+C21),0)</f>
        <v>0</v>
      </c>
      <c r="D99" t="s">
        <v>46</v>
      </c>
      <c r="E99" t="s">
        <v>790</v>
      </c>
      <c r="K99" s="10"/>
      <c r="Q99" s="100"/>
      <c r="R99" t="s">
        <v>773</v>
      </c>
      <c r="S99" s="204" t="e">
        <f>IF(S95&gt;0,S98*S95,S98)</f>
        <v>#N/A</v>
      </c>
      <c r="T99" s="203" t="e">
        <f>T98*2</f>
        <v>#N/A</v>
      </c>
      <c r="U99" s="164" t="s">
        <v>633</v>
      </c>
      <c r="V99" s="504"/>
    </row>
    <row r="100" spans="1:21" ht="12.75">
      <c r="A100" t="s">
        <v>31</v>
      </c>
      <c r="B100" s="20" t="s">
        <v>72</v>
      </c>
      <c r="C100" s="192" t="e">
        <f>C94+C99</f>
        <v>#VALUE!</v>
      </c>
      <c r="D100" t="s">
        <v>46</v>
      </c>
      <c r="Q100" s="100"/>
      <c r="R100" s="217" t="s">
        <v>774</v>
      </c>
      <c r="S100" s="596" t="e">
        <f>IF(S88+Z90&lt;S88,"",Z90+S99)</f>
        <v>#N/A</v>
      </c>
      <c r="T100" s="10"/>
      <c r="U100" t="e">
        <f>IF(S100&lt;S88,"WARNING - INSUFFICIENT LN FT BY PLAN","")</f>
        <v>#N/A</v>
      </c>
    </row>
    <row r="101" spans="1:21" ht="19.5" customHeight="1">
      <c r="A101" s="21" t="s">
        <v>723</v>
      </c>
      <c r="B101" s="11"/>
      <c r="C101" s="11"/>
      <c r="D101" t="s">
        <v>74</v>
      </c>
      <c r="K101" s="148" t="e">
        <f>ROUNDUP(N101*L102,0)</f>
        <v>#VALUE!</v>
      </c>
      <c r="L101" s="22" t="str">
        <f>D104</f>
        <v>sq. ft.</v>
      </c>
      <c r="M101" s="23"/>
      <c r="N101" s="149">
        <f>C103</f>
        <v>-5</v>
      </c>
      <c r="Q101" s="100"/>
      <c r="R101" s="21" t="s">
        <v>73</v>
      </c>
      <c r="S101" s="11"/>
      <c r="T101" s="11"/>
      <c r="U101" t="s">
        <v>74</v>
      </c>
    </row>
    <row r="102" spans="1:21" ht="12.75">
      <c r="A102" t="s">
        <v>75</v>
      </c>
      <c r="B102" t="s">
        <v>337</v>
      </c>
      <c r="C102" s="196" t="e">
        <f>(SUM((C96+C97)*C22)+C93)</f>
        <v>#VALUE!</v>
      </c>
      <c r="D102" t="s">
        <v>46</v>
      </c>
      <c r="E102" t="s">
        <v>722</v>
      </c>
      <c r="L102" s="33" t="e">
        <f>C102</f>
        <v>#VALUE!</v>
      </c>
      <c r="N102" s="24"/>
      <c r="O102" s="218"/>
      <c r="Q102" s="169"/>
      <c r="R102" s="83" t="s">
        <v>666</v>
      </c>
      <c r="S102" s="204">
        <f>IF(S91&gt;0,S91+(S95*(0.5*S96)),S92+(S95*(0.5*S96)))</f>
        <v>90</v>
      </c>
      <c r="T102" s="203" t="e">
        <f>T92+(T95*T96)</f>
        <v>#N/A</v>
      </c>
      <c r="U102" s="164"/>
    </row>
    <row r="103" spans="1:21" ht="12.75">
      <c r="A103" t="s">
        <v>76</v>
      </c>
      <c r="B103" t="s">
        <v>338</v>
      </c>
      <c r="C103" s="192">
        <f>(C21*C92)+((C92-1)*5)</f>
        <v>-5</v>
      </c>
      <c r="D103" t="s">
        <v>46</v>
      </c>
      <c r="E103" t="s">
        <v>649</v>
      </c>
      <c r="N103" s="24"/>
      <c r="Q103" s="100"/>
      <c r="R103" s="83" t="s">
        <v>634</v>
      </c>
      <c r="S103" s="204" t="e">
        <f>S98</f>
        <v>#N/A</v>
      </c>
      <c r="T103" s="203" t="e">
        <f>T98</f>
        <v>#N/A</v>
      </c>
      <c r="U103" s="164"/>
    </row>
    <row r="104" spans="1:21" ht="12.75">
      <c r="A104" t="s">
        <v>77</v>
      </c>
      <c r="B104" t="s">
        <v>339</v>
      </c>
      <c r="C104" s="197" t="e">
        <f>ROUNDUP(C102*C103,0)</f>
        <v>#VALUE!</v>
      </c>
      <c r="D104" t="s">
        <v>78</v>
      </c>
      <c r="E104" s="26" t="s">
        <v>79</v>
      </c>
      <c r="F104" s="10"/>
      <c r="G104" s="10"/>
      <c r="N104" s="24"/>
      <c r="Q104" s="100"/>
      <c r="R104" s="83" t="s">
        <v>635</v>
      </c>
      <c r="S104" s="204" t="e">
        <f>S102*S103</f>
        <v>#N/A</v>
      </c>
      <c r="T104" s="203" t="e">
        <f>T102*T103</f>
        <v>#N/A</v>
      </c>
      <c r="U104" s="164"/>
    </row>
    <row r="105" spans="1:19" ht="12.75">
      <c r="A105" s="27" t="s">
        <v>724</v>
      </c>
      <c r="B105" s="28"/>
      <c r="C105" s="221"/>
      <c r="E105" t="s">
        <v>84</v>
      </c>
      <c r="K105" s="163" t="e">
        <f>ROUNDUP(L106*N105,0)</f>
        <v>#VALUE!</v>
      </c>
      <c r="L105" s="31" t="s">
        <v>78</v>
      </c>
      <c r="M105" s="32"/>
      <c r="N105" s="149">
        <f>C107</f>
        <v>5</v>
      </c>
      <c r="Q105" s="100"/>
      <c r="R105" s="27" t="s">
        <v>80</v>
      </c>
      <c r="S105" s="28"/>
    </row>
    <row r="106" spans="1:21" ht="12.75">
      <c r="A106" t="s">
        <v>81</v>
      </c>
      <c r="B106" t="s">
        <v>340</v>
      </c>
      <c r="C106" s="191" t="e">
        <f>C102+10</f>
        <v>#VALUE!</v>
      </c>
      <c r="D106" t="s">
        <v>46</v>
      </c>
      <c r="E106" t="s">
        <v>85</v>
      </c>
      <c r="K106" s="30"/>
      <c r="L106" s="35" t="e">
        <f>C106</f>
        <v>#VALUE!</v>
      </c>
      <c r="M106" s="30"/>
      <c r="Q106" s="100"/>
      <c r="R106" s="83" t="s">
        <v>636</v>
      </c>
      <c r="S106" s="204">
        <f>S102+10</f>
        <v>100</v>
      </c>
      <c r="T106" s="203" t="e">
        <f>T102+10</f>
        <v>#N/A</v>
      </c>
      <c r="U106" s="164"/>
    </row>
    <row r="107" spans="1:21" ht="12.75">
      <c r="A107" t="s">
        <v>82</v>
      </c>
      <c r="B107" t="s">
        <v>341</v>
      </c>
      <c r="C107" s="192">
        <f>C103+10</f>
        <v>5</v>
      </c>
      <c r="D107" t="s">
        <v>46</v>
      </c>
      <c r="E107" t="s">
        <v>385</v>
      </c>
      <c r="Q107" s="100"/>
      <c r="R107" s="83" t="s">
        <v>637</v>
      </c>
      <c r="S107" s="204" t="e">
        <f>S103+10</f>
        <v>#N/A</v>
      </c>
      <c r="T107" s="203" t="e">
        <f>T103+10</f>
        <v>#N/A</v>
      </c>
      <c r="U107" s="164"/>
    </row>
    <row r="108" spans="1:21" ht="12.75">
      <c r="A108" t="s">
        <v>83</v>
      </c>
      <c r="B108" t="s">
        <v>342</v>
      </c>
      <c r="C108" s="198" t="e">
        <f>ROUNDUP(C106*C107,0)</f>
        <v>#VALUE!</v>
      </c>
      <c r="D108" t="s">
        <v>78</v>
      </c>
      <c r="E108" t="s">
        <v>93</v>
      </c>
      <c r="G108" t="e">
        <f>IF(SUM((C141+C142)*2)+C154&gt;(SUM((C57+C67)*2)+C106),(SUM((C141+C142)*2)+C154),SUM((C57+C67)*2+C106))</f>
        <v>#DIV/0!</v>
      </c>
      <c r="Q108" s="100"/>
      <c r="R108" s="83" t="s">
        <v>638</v>
      </c>
      <c r="S108" s="204" t="e">
        <f>S106*S107</f>
        <v>#N/A</v>
      </c>
      <c r="T108" s="203" t="e">
        <f>T106*T107</f>
        <v>#N/A</v>
      </c>
      <c r="U108" s="164"/>
    </row>
    <row r="109" spans="1:21" ht="12.75">
      <c r="A109" s="112" t="s">
        <v>725</v>
      </c>
      <c r="B109" s="73"/>
      <c r="C109" s="222"/>
      <c r="E109" t="s">
        <v>90</v>
      </c>
      <c r="Q109" s="100"/>
      <c r="R109" s="112" t="s">
        <v>86</v>
      </c>
      <c r="S109" s="73"/>
      <c r="U109" t="e">
        <f>3*S114</f>
        <v>#N/A</v>
      </c>
    </row>
    <row r="110" spans="1:21" ht="12.75">
      <c r="A110" t="s">
        <v>87</v>
      </c>
      <c r="B110" t="s">
        <v>343</v>
      </c>
      <c r="C110" s="191" t="str">
        <f>IF(C14="N",(((C10)/3)/C37)+10+C89,"See C100")</f>
        <v>See C100</v>
      </c>
      <c r="D110" t="s">
        <v>46</v>
      </c>
      <c r="E110" t="s">
        <v>91</v>
      </c>
      <c r="J110" s="73"/>
      <c r="K110" s="73"/>
      <c r="L110" s="73"/>
      <c r="M110" s="73"/>
      <c r="N110" s="73"/>
      <c r="Q110" s="100"/>
      <c r="R110" s="83" t="s">
        <v>351</v>
      </c>
      <c r="S110" s="593" t="str">
        <f>C110</f>
        <v>See C100</v>
      </c>
      <c r="T110" s="594" t="e">
        <f>IF(T106+(((3*22)*2)/12)&lt;C110,T106+(((3*22)*2)/12),C110)</f>
        <v>#N/A</v>
      </c>
      <c r="U110" s="47" t="s">
        <v>350</v>
      </c>
    </row>
    <row r="111" spans="1:21" ht="12.75">
      <c r="A111" t="s">
        <v>88</v>
      </c>
      <c r="B111" t="s">
        <v>344</v>
      </c>
      <c r="C111" s="192" t="str">
        <f>IF(C14="N",C89+C107,"See C101")</f>
        <v>See C101</v>
      </c>
      <c r="D111" t="s">
        <v>46</v>
      </c>
      <c r="E111" t="s">
        <v>800</v>
      </c>
      <c r="J111" s="73"/>
      <c r="K111" s="162"/>
      <c r="L111" s="512" t="e">
        <f>IF(C14="Y","See C102",ROUNDUP(L113*O111,0)&amp;" sq.ft.")</f>
        <v>#VALUE!</v>
      </c>
      <c r="M111" s="111"/>
      <c r="N111" s="73"/>
      <c r="O111" s="149" t="str">
        <f>C111</f>
        <v>See C101</v>
      </c>
      <c r="Q111" s="100"/>
      <c r="R111" s="83" t="s">
        <v>352</v>
      </c>
      <c r="S111" s="205" t="str">
        <f>C111</f>
        <v>See C101</v>
      </c>
      <c r="T111" s="203" t="str">
        <f>C111</f>
        <v>See C101</v>
      </c>
      <c r="U111" s="47" t="s">
        <v>350</v>
      </c>
    </row>
    <row r="112" spans="1:21" ht="12.75">
      <c r="A112" t="s">
        <v>89</v>
      </c>
      <c r="B112" t="s">
        <v>345</v>
      </c>
      <c r="C112" s="198" t="str">
        <f>IF(C14="N",ROUNDUP(C110*C111,0),"See C102")</f>
        <v>See C102</v>
      </c>
      <c r="D112" t="s">
        <v>78</v>
      </c>
      <c r="E112" t="s">
        <v>92</v>
      </c>
      <c r="J112" s="73"/>
      <c r="K112" s="73"/>
      <c r="L112" s="73"/>
      <c r="M112" s="73"/>
      <c r="N112" s="73"/>
      <c r="Q112" s="100"/>
      <c r="R112" s="83" t="s">
        <v>353</v>
      </c>
      <c r="S112" s="205" t="str">
        <f>C112</f>
        <v>See C102</v>
      </c>
      <c r="T112" s="203" t="str">
        <f>C112</f>
        <v>See C102</v>
      </c>
      <c r="U112" s="47" t="s">
        <v>350</v>
      </c>
    </row>
    <row r="113" spans="1:19" ht="12.75">
      <c r="A113" s="46" t="s">
        <v>388</v>
      </c>
      <c r="B113" s="46"/>
      <c r="C113" s="46"/>
      <c r="D113" s="46"/>
      <c r="E113" s="45"/>
      <c r="F113" s="45"/>
      <c r="G113" s="45"/>
      <c r="H113" s="45"/>
      <c r="I113" s="45"/>
      <c r="L113" s="34" t="str">
        <f>C110</f>
        <v>See C100</v>
      </c>
      <c r="Q113" s="100"/>
      <c r="R113" s="144" t="s">
        <v>276</v>
      </c>
      <c r="S113" s="9"/>
    </row>
    <row r="114" spans="1:20" ht="12.75">
      <c r="A114" s="626" t="s">
        <v>392</v>
      </c>
      <c r="B114" s="627"/>
      <c r="C114" s="627"/>
      <c r="D114" s="627"/>
      <c r="E114" s="627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Q114" s="100"/>
      <c r="R114" s="591" t="s">
        <v>779</v>
      </c>
      <c r="S114" t="e">
        <f>C51</f>
        <v>#N/A</v>
      </c>
      <c r="T114" t="s">
        <v>665</v>
      </c>
    </row>
    <row r="115" spans="1:21" ht="12.75">
      <c r="A115" s="170" t="s">
        <v>389</v>
      </c>
      <c r="B115" s="170" t="s">
        <v>343</v>
      </c>
      <c r="C115" s="628" t="e">
        <f>C203</f>
        <v>#N/A</v>
      </c>
      <c r="D115" s="170" t="s">
        <v>46</v>
      </c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Q115" s="100"/>
      <c r="R115" s="231" t="s">
        <v>354</v>
      </c>
      <c r="S115" s="592" t="e">
        <f>ROUNDUP((((S110-S106)/2)*12)/S114,1)</f>
        <v>#VALUE!</v>
      </c>
      <c r="T115" s="592" t="e">
        <f>ROUND((((T110-T106)/2)*12)/S114,0)</f>
        <v>#N/A</v>
      </c>
      <c r="U115" s="590" t="s">
        <v>777</v>
      </c>
    </row>
    <row r="116" spans="1:21" ht="12.75">
      <c r="A116" s="170" t="s">
        <v>390</v>
      </c>
      <c r="B116" s="170" t="s">
        <v>344</v>
      </c>
      <c r="C116" s="629" t="e">
        <f>C204</f>
        <v>#N/A</v>
      </c>
      <c r="D116" s="170" t="s">
        <v>46</v>
      </c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Q116" s="100"/>
      <c r="S116" s="592" t="e">
        <f>ROUNDUP((((S111-S107)/2)*12)/S114,1)</f>
        <v>#VALUE!</v>
      </c>
      <c r="T116" s="592" t="e">
        <f>ROUND((((T111-T107)/2)*12)/S114,0)</f>
        <v>#VALUE!</v>
      </c>
      <c r="U116" s="590" t="s">
        <v>778</v>
      </c>
    </row>
    <row r="117" spans="1:17" ht="12.75">
      <c r="A117" s="170" t="s">
        <v>391</v>
      </c>
      <c r="B117" s="170" t="s">
        <v>345</v>
      </c>
      <c r="C117" s="628" t="e">
        <f>ROUNDUP(C115*C116,0)</f>
        <v>#N/A</v>
      </c>
      <c r="D117" s="170" t="s">
        <v>78</v>
      </c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Q117" s="100"/>
    </row>
    <row r="118" spans="1:17" ht="12.75">
      <c r="A118" s="170"/>
      <c r="B118" s="224" t="s">
        <v>639</v>
      </c>
      <c r="C118" s="224"/>
      <c r="D118" s="224"/>
      <c r="E118" s="224"/>
      <c r="F118" s="224"/>
      <c r="G118" s="630" t="s">
        <v>383</v>
      </c>
      <c r="H118" s="630"/>
      <c r="I118" s="630"/>
      <c r="J118" s="630"/>
      <c r="K118" s="630"/>
      <c r="L118" s="631"/>
      <c r="M118" s="630"/>
      <c r="N118" s="630"/>
      <c r="O118" s="630"/>
      <c r="Q118" s="100"/>
    </row>
    <row r="119" spans="1:37" ht="12.75">
      <c r="A119" s="173"/>
      <c r="B119" s="224" t="s">
        <v>106</v>
      </c>
      <c r="C119" s="224"/>
      <c r="D119" s="224"/>
      <c r="E119" s="224"/>
      <c r="F119" s="224"/>
      <c r="G119" s="630" t="s">
        <v>384</v>
      </c>
      <c r="H119" s="630"/>
      <c r="I119" s="630"/>
      <c r="J119" s="630"/>
      <c r="K119" s="630"/>
      <c r="L119" s="631"/>
      <c r="M119" s="630"/>
      <c r="N119" s="630"/>
      <c r="O119" s="630"/>
      <c r="Q119" s="100"/>
      <c r="AJ119" s="11"/>
      <c r="AK119" s="10"/>
    </row>
    <row r="120" ht="12.75">
      <c r="Q120" s="100"/>
    </row>
    <row r="121" ht="12.75">
      <c r="Q121" s="100"/>
    </row>
    <row r="122" spans="18:20" ht="12.75" hidden="1">
      <c r="R122" t="s">
        <v>417</v>
      </c>
      <c r="S122" t="str">
        <f>IF(AND(SUM(C17:C20)&gt;0,C11&gt;60,C25="N"),C132+12+(SUM(C17:C20)),"0")</f>
        <v>0</v>
      </c>
      <c r="T122" t="s">
        <v>14</v>
      </c>
    </row>
    <row r="123" spans="18:20" ht="12.75" hidden="1">
      <c r="R123" t="s">
        <v>418</v>
      </c>
      <c r="S123" s="29" t="str">
        <f>IF(AND(SUM(C17:C20)&gt;0,C11&lt;61,C25="N"),C132+12+(SUM(C17:C20)),"0")</f>
        <v>0</v>
      </c>
      <c r="T123" t="s">
        <v>14</v>
      </c>
    </row>
    <row r="124" spans="3:20" ht="12.75" hidden="1">
      <c r="C124" s="404"/>
      <c r="R124" t="s">
        <v>419</v>
      </c>
      <c r="S124" s="29" t="str">
        <f>IF(S122&gt;0,S122,S123)</f>
        <v>0</v>
      </c>
      <c r="T124" t="s">
        <v>14</v>
      </c>
    </row>
    <row r="125" spans="2:3" ht="12.75" hidden="1">
      <c r="B125" s="571"/>
      <c r="C125" s="404"/>
    </row>
    <row r="126" spans="2:18" ht="12.75" hidden="1">
      <c r="B126" s="571"/>
      <c r="C126" s="405"/>
      <c r="R126" t="s">
        <v>416</v>
      </c>
    </row>
    <row r="127" ht="12.75" hidden="1">
      <c r="C127" s="405"/>
    </row>
    <row r="128" spans="2:7" ht="12.75" hidden="1">
      <c r="B128" s="170"/>
      <c r="C128" s="175"/>
      <c r="G128" s="170"/>
    </row>
    <row r="129" spans="2:21" ht="12.75" hidden="1">
      <c r="B129" s="170"/>
      <c r="C129" s="175"/>
      <c r="G129" s="170"/>
      <c r="T129" s="170">
        <f>ROUNDUP((T33-T41)/(T44-1),0)</f>
        <v>0</v>
      </c>
      <c r="U129" s="170" t="s">
        <v>363</v>
      </c>
    </row>
    <row r="130" spans="2:21" ht="12.75" hidden="1">
      <c r="B130" s="170"/>
      <c r="C130" s="175"/>
      <c r="G130" s="170"/>
      <c r="T130" s="170">
        <f>ROUNDUP((T33-T41)/(T44-2),0)</f>
        <v>0</v>
      </c>
      <c r="U130" s="170" t="s">
        <v>364</v>
      </c>
    </row>
    <row r="131" spans="2:21" ht="12.75" hidden="1">
      <c r="B131" s="170"/>
      <c r="C131" s="175"/>
      <c r="G131" s="170"/>
      <c r="T131" s="170">
        <f>IF(T130&lt;100.1,T130,T129)</f>
        <v>0</v>
      </c>
      <c r="U131" s="170" t="s">
        <v>365</v>
      </c>
    </row>
    <row r="132" spans="2:7" ht="12.75" hidden="1">
      <c r="B132" s="170"/>
      <c r="C132" s="175"/>
      <c r="G132" s="170"/>
    </row>
    <row r="133" spans="2:7" ht="12.75" hidden="1">
      <c r="B133" s="170"/>
      <c r="C133" s="175"/>
      <c r="D133" s="173"/>
      <c r="E133" s="170"/>
      <c r="F133" s="170"/>
      <c r="G133" s="170"/>
    </row>
    <row r="134" spans="2:9" ht="12.75" hidden="1">
      <c r="B134" s="170" t="s">
        <v>236</v>
      </c>
      <c r="C134" s="175">
        <f>(C37-1)*8</f>
        <v>-8</v>
      </c>
      <c r="D134" s="170" t="s">
        <v>237</v>
      </c>
      <c r="E134" s="170" t="s">
        <v>243</v>
      </c>
      <c r="F134" s="170"/>
      <c r="G134" s="170"/>
      <c r="I134" t="s">
        <v>709</v>
      </c>
    </row>
    <row r="135" spans="2:9" ht="12.75" hidden="1">
      <c r="B135" s="170" t="s">
        <v>247</v>
      </c>
      <c r="C135" s="175">
        <f>(C41-1)*8</f>
        <v>8</v>
      </c>
      <c r="D135" s="170" t="s">
        <v>237</v>
      </c>
      <c r="E135" s="170"/>
      <c r="F135" s="170"/>
      <c r="G135" s="170"/>
      <c r="I135" t="s">
        <v>756</v>
      </c>
    </row>
    <row r="136" spans="2:9" ht="12.75" hidden="1">
      <c r="B136" s="170" t="s">
        <v>252</v>
      </c>
      <c r="C136" s="175" t="e">
        <f>(C150-1)*8</f>
        <v>#N/A</v>
      </c>
      <c r="D136" s="170"/>
      <c r="E136" s="170" t="e">
        <f>(C150-1)*8</f>
        <v>#N/A</v>
      </c>
      <c r="F136" s="170"/>
      <c r="G136" s="170"/>
      <c r="I136" t="s">
        <v>757</v>
      </c>
    </row>
    <row r="137" spans="2:9" ht="12.75" hidden="1">
      <c r="B137" s="170" t="s">
        <v>251</v>
      </c>
      <c r="C137" s="175" t="e">
        <f>((C150-1)*8)*2</f>
        <v>#N/A</v>
      </c>
      <c r="D137" s="170" t="s">
        <v>239</v>
      </c>
      <c r="E137" s="170"/>
      <c r="F137" s="170"/>
      <c r="G137" s="170"/>
      <c r="I137" t="s">
        <v>712</v>
      </c>
    </row>
    <row r="138" spans="2:9" ht="12.75" hidden="1">
      <c r="B138" s="170" t="s">
        <v>238</v>
      </c>
      <c r="C138" s="176">
        <f>(C96+C97)*C134</f>
        <v>0</v>
      </c>
      <c r="D138" s="170" t="s">
        <v>239</v>
      </c>
      <c r="E138" s="170" t="s">
        <v>244</v>
      </c>
      <c r="F138" s="170"/>
      <c r="G138" s="170"/>
      <c r="H138">
        <f>C96+C97+C134</f>
        <v>-8</v>
      </c>
      <c r="I138" t="s">
        <v>713</v>
      </c>
    </row>
    <row r="139" spans="2:9" ht="12.75" hidden="1">
      <c r="B139" s="170" t="s">
        <v>248</v>
      </c>
      <c r="C139" s="175">
        <f>(C97*C135)</f>
        <v>0</v>
      </c>
      <c r="D139" s="170" t="s">
        <v>239</v>
      </c>
      <c r="E139" s="170"/>
      <c r="F139" s="170"/>
      <c r="G139" s="170"/>
      <c r="I139" t="s">
        <v>714</v>
      </c>
    </row>
    <row r="140" spans="2:9" ht="12.75" hidden="1">
      <c r="B140" s="170" t="s">
        <v>241</v>
      </c>
      <c r="C140" s="177" t="e">
        <f>ROUNDUP((C79-C137)/C150,1)</f>
        <v>#N/A</v>
      </c>
      <c r="D140" s="170"/>
      <c r="E140" s="170" t="s">
        <v>94</v>
      </c>
      <c r="F140" s="170" t="e">
        <f>ROUNDUP((C79-C138)/C41,1)</f>
        <v>#N/A</v>
      </c>
      <c r="G140" s="170"/>
      <c r="I140" t="s">
        <v>715</v>
      </c>
    </row>
    <row r="141" spans="2:9" ht="12.75" hidden="1">
      <c r="B141" s="170" t="s">
        <v>242</v>
      </c>
      <c r="C141" s="170" t="e">
        <f>ROUNDUP((C96-C97)/C37,1)</f>
        <v>#DIV/0!</v>
      </c>
      <c r="D141" s="170"/>
      <c r="E141" s="170" t="s">
        <v>94</v>
      </c>
      <c r="F141" s="170"/>
      <c r="G141" s="170"/>
      <c r="I141" t="s">
        <v>716</v>
      </c>
    </row>
    <row r="142" spans="2:7" ht="12.75" hidden="1">
      <c r="B142" s="170" t="s">
        <v>95</v>
      </c>
      <c r="C142" s="177" t="e">
        <f>SUM((C96+C97)*C22)+C140</f>
        <v>#N/A</v>
      </c>
      <c r="D142" s="170"/>
      <c r="E142" s="170" t="s">
        <v>250</v>
      </c>
      <c r="F142" s="224" t="e">
        <f>C142*C143</f>
        <v>#N/A</v>
      </c>
      <c r="G142" s="170" t="s">
        <v>394</v>
      </c>
    </row>
    <row r="143" spans="2:7" ht="12.75" hidden="1">
      <c r="B143" s="170" t="s">
        <v>96</v>
      </c>
      <c r="C143" s="200" t="e">
        <f>C136+3</f>
        <v>#N/A</v>
      </c>
      <c r="D143" s="170"/>
      <c r="E143" s="170" t="s">
        <v>97</v>
      </c>
      <c r="F143" s="170"/>
      <c r="G143" s="170"/>
    </row>
    <row r="144" spans="2:7" ht="12.75" hidden="1">
      <c r="B144" s="170" t="s">
        <v>98</v>
      </c>
      <c r="C144" s="177" t="e">
        <f>C142+10</f>
        <v>#N/A</v>
      </c>
      <c r="D144" s="170"/>
      <c r="E144" s="170" t="s">
        <v>249</v>
      </c>
      <c r="F144" s="224" t="e">
        <f>C144*C145</f>
        <v>#N/A</v>
      </c>
      <c r="G144" s="170" t="s">
        <v>395</v>
      </c>
    </row>
    <row r="145" spans="2:7" ht="12.75" hidden="1">
      <c r="B145" s="170" t="s">
        <v>99</v>
      </c>
      <c r="C145" s="200" t="e">
        <f>C143+10</f>
        <v>#N/A</v>
      </c>
      <c r="D145" s="170"/>
      <c r="E145" s="170" t="s">
        <v>100</v>
      </c>
      <c r="F145" s="170"/>
      <c r="G145" s="170"/>
    </row>
    <row r="146" spans="2:7" ht="12.75" hidden="1">
      <c r="B146" s="170" t="s">
        <v>101</v>
      </c>
      <c r="C146" s="177" t="e">
        <f>SUM((C131+C132)*2)+C144</f>
        <v>#N/A</v>
      </c>
      <c r="D146" s="170"/>
      <c r="E146" s="170" t="s">
        <v>396</v>
      </c>
      <c r="F146" s="177" t="e">
        <f>(C53*2)+C144</f>
        <v>#N/A</v>
      </c>
      <c r="G146" s="170"/>
    </row>
    <row r="147" spans="2:7" ht="12.75" hidden="1">
      <c r="B147" s="170" t="s">
        <v>102</v>
      </c>
      <c r="C147" s="200" t="e">
        <f>SUM((C131+C132)*2)+C145</f>
        <v>#N/A</v>
      </c>
      <c r="D147" s="170"/>
      <c r="E147" s="170" t="s">
        <v>103</v>
      </c>
      <c r="F147" s="170"/>
      <c r="G147" s="170"/>
    </row>
    <row r="148" spans="2:7" ht="12.75" hidden="1">
      <c r="B148" s="170" t="s">
        <v>104</v>
      </c>
      <c r="C148" s="224" t="e">
        <f>C146*C147</f>
        <v>#N/A</v>
      </c>
      <c r="D148" s="170"/>
      <c r="E148" s="224" t="s">
        <v>105</v>
      </c>
      <c r="F148" s="224" t="e">
        <f>ROUNDUP(C148,0)</f>
        <v>#N/A</v>
      </c>
      <c r="G148" s="170" t="s">
        <v>397</v>
      </c>
    </row>
    <row r="149" spans="2:9" ht="12.75" hidden="1">
      <c r="B149" s="170"/>
      <c r="C149" s="170" t="e">
        <f>C79/100</f>
        <v>#N/A</v>
      </c>
      <c r="D149" s="170"/>
      <c r="E149" s="178" t="s">
        <v>232</v>
      </c>
      <c r="I149" t="s">
        <v>710</v>
      </c>
    </row>
    <row r="150" spans="2:9" ht="12.75" hidden="1">
      <c r="B150" s="170" t="s">
        <v>240</v>
      </c>
      <c r="C150" s="170" t="e">
        <f>ROUNDUP(C149,0)</f>
        <v>#N/A</v>
      </c>
      <c r="D150" s="170"/>
      <c r="E150" s="170" t="s">
        <v>393</v>
      </c>
      <c r="I150" t="s">
        <v>711</v>
      </c>
    </row>
    <row r="151" spans="2:5" ht="12.75" hidden="1">
      <c r="B151" s="178" t="s">
        <v>235</v>
      </c>
      <c r="C151" s="179" t="e">
        <f>(C79-C99)/C150</f>
        <v>#N/A</v>
      </c>
      <c r="D151" s="173"/>
      <c r="E151" s="173"/>
    </row>
    <row r="152" spans="2:5" ht="12.75" hidden="1">
      <c r="B152" s="170"/>
      <c r="C152" s="600">
        <f>ROUNDUP(C81/100,0)</f>
        <v>2</v>
      </c>
      <c r="D152" s="170"/>
      <c r="E152" s="223" t="s">
        <v>233</v>
      </c>
    </row>
    <row r="153" spans="2:5" ht="12.75" hidden="1">
      <c r="B153" s="170" t="s">
        <v>240</v>
      </c>
      <c r="C153" s="170">
        <f>ROUNDUP(C152,0)</f>
        <v>2</v>
      </c>
      <c r="D153" s="170"/>
      <c r="E153" s="170" t="s">
        <v>356</v>
      </c>
    </row>
    <row r="154" spans="2:5" ht="12.75" hidden="1">
      <c r="B154" s="180" t="s">
        <v>285</v>
      </c>
      <c r="C154" s="170"/>
      <c r="D154" s="170"/>
      <c r="E154" s="170"/>
    </row>
    <row r="155" spans="2:5" ht="12.75" hidden="1">
      <c r="B155" s="170" t="s">
        <v>278</v>
      </c>
      <c r="C155" s="181">
        <f>C41-1</f>
        <v>1</v>
      </c>
      <c r="D155" s="170"/>
      <c r="E155" s="170" t="s">
        <v>751</v>
      </c>
    </row>
    <row r="156" spans="2:5" ht="12.75" hidden="1">
      <c r="B156" s="170" t="s">
        <v>279</v>
      </c>
      <c r="C156" s="174">
        <f>C41-2</f>
        <v>0</v>
      </c>
      <c r="D156" s="170"/>
      <c r="E156" s="170" t="s">
        <v>752</v>
      </c>
    </row>
    <row r="157" spans="2:5" ht="12.75" hidden="1">
      <c r="B157" s="170" t="s">
        <v>282</v>
      </c>
      <c r="C157" s="181">
        <f>(C155-1)*8</f>
        <v>0</v>
      </c>
      <c r="D157" s="170" t="s">
        <v>275</v>
      </c>
      <c r="E157" s="170" t="s">
        <v>357</v>
      </c>
    </row>
    <row r="158" spans="2:5" ht="12.75" hidden="1">
      <c r="B158" s="170" t="s">
        <v>282</v>
      </c>
      <c r="C158" s="174">
        <f>(C156-1)*8</f>
        <v>-8</v>
      </c>
      <c r="D158" s="170" t="s">
        <v>275</v>
      </c>
      <c r="E158" s="170" t="s">
        <v>358</v>
      </c>
    </row>
    <row r="159" spans="2:5" ht="12.75" hidden="1">
      <c r="B159" s="170" t="s">
        <v>283</v>
      </c>
      <c r="C159" s="181">
        <f>(C35+C36)*C157</f>
        <v>0</v>
      </c>
      <c r="D159" s="170" t="s">
        <v>239</v>
      </c>
      <c r="E159" s="170" t="s">
        <v>357</v>
      </c>
    </row>
    <row r="160" spans="2:5" ht="12.75" hidden="1">
      <c r="B160" s="170" t="s">
        <v>283</v>
      </c>
      <c r="C160" s="174">
        <f>(C35+C36)*C158</f>
        <v>0</v>
      </c>
      <c r="D160" s="170" t="s">
        <v>239</v>
      </c>
      <c r="E160" s="170" t="s">
        <v>358</v>
      </c>
    </row>
    <row r="161" spans="2:5" ht="12.75" hidden="1">
      <c r="B161" s="170" t="s">
        <v>284</v>
      </c>
      <c r="C161" s="181">
        <f>IF(C14="N",ROUNDUP(((C79-C159)/C155),1),ROUNDUP(((C81-C159)/C155),1))</f>
        <v>200</v>
      </c>
      <c r="D161" s="170" t="s">
        <v>275</v>
      </c>
      <c r="E161" s="170" t="s">
        <v>359</v>
      </c>
    </row>
    <row r="162" spans="2:5" ht="12.75" hidden="1">
      <c r="B162" s="170" t="s">
        <v>284</v>
      </c>
      <c r="C162" s="174" t="e">
        <f>IF(C14="N",ROUNDUP(((C79-C160)/C156),1),ROUNDUP(((C81-C160)/C156),1))</f>
        <v>#DIV/0!</v>
      </c>
      <c r="D162" s="170" t="s">
        <v>275</v>
      </c>
      <c r="E162" s="170" t="s">
        <v>360</v>
      </c>
    </row>
    <row r="163" spans="2:5" ht="12.75" hidden="1">
      <c r="B163" s="170"/>
      <c r="C163" s="170"/>
      <c r="D163" s="170"/>
      <c r="E163" s="170"/>
    </row>
    <row r="164" spans="2:5" ht="12.75" hidden="1">
      <c r="B164" s="170"/>
      <c r="C164" s="182" t="e">
        <f>IF(AND(C162&gt;C161,C162&lt;101),C162,C161)</f>
        <v>#DIV/0!</v>
      </c>
      <c r="D164" s="170" t="s">
        <v>275</v>
      </c>
      <c r="E164" s="170" t="s">
        <v>625</v>
      </c>
    </row>
    <row r="165" spans="2:5" ht="12.75" hidden="1">
      <c r="B165" s="170"/>
      <c r="C165" s="182" t="e">
        <f>IF(C164=C162,C160,C159)</f>
        <v>#DIV/0!</v>
      </c>
      <c r="D165" s="170" t="s">
        <v>239</v>
      </c>
      <c r="E165" s="170" t="s">
        <v>626</v>
      </c>
    </row>
    <row r="166" spans="2:5" ht="12.75" hidden="1">
      <c r="B166" s="170"/>
      <c r="C166" s="173"/>
      <c r="D166" s="170"/>
      <c r="E166" s="170"/>
    </row>
    <row r="167" spans="2:5" ht="12.75" hidden="1">
      <c r="B167" s="183" t="s">
        <v>288</v>
      </c>
      <c r="C167" s="184" t="e">
        <f>IF(C164=C162,C156,C155)</f>
        <v>#DIV/0!</v>
      </c>
      <c r="D167" s="170"/>
      <c r="E167" s="170"/>
    </row>
    <row r="168" spans="2:5" ht="12.75" hidden="1">
      <c r="B168" s="170" t="s">
        <v>289</v>
      </c>
      <c r="C168" s="170"/>
      <c r="D168" s="170"/>
      <c r="E168" s="170"/>
    </row>
    <row r="169" spans="1:11" ht="12.75" hidden="1">
      <c r="A169" s="394"/>
      <c r="B169" s="394"/>
      <c r="C169" s="394"/>
      <c r="D169" s="394"/>
      <c r="E169" s="394"/>
      <c r="F169" s="394"/>
      <c r="G169" s="394"/>
      <c r="H169" s="394"/>
      <c r="I169" s="394"/>
      <c r="J169" s="394"/>
      <c r="K169" s="394"/>
    </row>
    <row r="170" ht="12.75" hidden="1"/>
    <row r="171" ht="12.75" hidden="1">
      <c r="C171" t="s">
        <v>755</v>
      </c>
    </row>
    <row r="172" spans="2:8" ht="12.75" hidden="1">
      <c r="B172" t="s">
        <v>758</v>
      </c>
      <c r="C172">
        <f>IF(OR(C14="Y",C15="Y"),3,C21)</f>
        <v>0</v>
      </c>
      <c r="H172">
        <f>C21</f>
        <v>0</v>
      </c>
    </row>
    <row r="173" spans="2:8" ht="12.75" hidden="1">
      <c r="B173" s="83" t="s">
        <v>735</v>
      </c>
      <c r="H173" s="552" t="s">
        <v>747</v>
      </c>
    </row>
    <row r="174" spans="2:8" ht="12.75" hidden="1">
      <c r="B174" s="56" t="s">
        <v>731</v>
      </c>
      <c r="H174" s="56" t="s">
        <v>726</v>
      </c>
    </row>
    <row r="175" spans="2:9" ht="12.75" hidden="1">
      <c r="B175" t="s">
        <v>728</v>
      </c>
      <c r="C175" t="e">
        <f>C10</f>
        <v>#N/A</v>
      </c>
      <c r="D175" t="s">
        <v>39</v>
      </c>
      <c r="G175" s="29" t="s">
        <v>728</v>
      </c>
      <c r="H175" s="574" t="str">
        <f>IF(C6&gt;120,C175*0.9,IF(C6&gt;60,C175*0.8,IF(C6&gt;30,C175*0.7,IF(C6&gt;15,C175*0.6,IF(C6&gt;4,C175*0.5,IF(C6&lt;5,"200"))))))</f>
        <v>200</v>
      </c>
      <c r="I175" t="s">
        <v>39</v>
      </c>
    </row>
    <row r="176" spans="2:8" ht="12.75" hidden="1">
      <c r="B176" t="str">
        <f>"Ln.Ft. "&amp;C172&amp;" ft. trench"</f>
        <v>Ln.Ft. 0 ft. trench</v>
      </c>
      <c r="C176" t="e">
        <f>ROUNDUP(C175/C172,0.5)</f>
        <v>#N/A</v>
      </c>
      <c r="G176" s="29" t="str">
        <f>"Ln.Ft. "&amp;H172&amp;" ft. trench"</f>
        <v>Ln.Ft. 0 ft. trench</v>
      </c>
      <c r="H176" t="e">
        <f>H175/H172</f>
        <v>#DIV/0!</v>
      </c>
    </row>
    <row r="177" spans="1:8" ht="12.75" hidden="1">
      <c r="A177" s="598"/>
      <c r="B177" t="e">
        <f>"Min. No. "&amp;C172&amp;" ft.trenches required = "&amp;C176&amp;"/100 ft."</f>
        <v>#N/A</v>
      </c>
      <c r="C177" t="e">
        <f>ROUNDUP((C175/C172)/100,0)</f>
        <v>#N/A</v>
      </c>
      <c r="D177" t="s">
        <v>729</v>
      </c>
      <c r="G177" s="29" t="e">
        <f>"Min. No. "&amp;H172&amp;" ft.trenches required = "&amp;H176&amp;"/100 ft."</f>
        <v>#DIV/0!</v>
      </c>
      <c r="H177" t="e">
        <f>ROUNDUP((H175/H172)/100,0)</f>
        <v>#DIV/0!</v>
      </c>
    </row>
    <row r="178" spans="1:9" ht="12.75" hidden="1">
      <c r="A178" s="598"/>
      <c r="B178" t="e">
        <f>"Calculated length each line = ("&amp;C175&amp;"/"&amp;C172&amp;")/"&amp;C177</f>
        <v>#N/A</v>
      </c>
      <c r="C178" t="e">
        <f>ROUNDUP((C175/C172)/C177,0)</f>
        <v>#N/A</v>
      </c>
      <c r="D178" t="s">
        <v>730</v>
      </c>
      <c r="G178" s="29" t="e">
        <f>"Calculated length each line = ("&amp;H175&amp;"/"&amp;H172&amp;")/"&amp;H177</f>
        <v>#DIV/0!</v>
      </c>
      <c r="H178" t="e">
        <f>ROUNDUP((H175/H172)/H177,0)</f>
        <v>#DIV/0!</v>
      </c>
      <c r="I178" t="s">
        <v>730</v>
      </c>
    </row>
    <row r="179" spans="1:9" ht="12.75" hidden="1">
      <c r="A179" s="598"/>
      <c r="B179" t="e">
        <f>"Total Sq. Ft. of lines = "&amp;C178&amp;"x"&amp;C172&amp;"x"&amp;C177</f>
        <v>#N/A</v>
      </c>
      <c r="C179" t="e">
        <f>C178*C177*C172</f>
        <v>#N/A</v>
      </c>
      <c r="D179" t="s">
        <v>39</v>
      </c>
      <c r="G179" s="29" t="e">
        <f>"Total Sq. Ft. of lines = "&amp;H178&amp;"x"&amp;H172&amp;"x"&amp;H177</f>
        <v>#DIV/0!</v>
      </c>
      <c r="H179" t="e">
        <f>H178*H177*H172</f>
        <v>#DIV/0!</v>
      </c>
      <c r="I179" t="s">
        <v>39</v>
      </c>
    </row>
    <row r="180" spans="2:8" ht="12.75" hidden="1">
      <c r="B180" t="s">
        <v>763</v>
      </c>
      <c r="C180">
        <f>C37</f>
        <v>0</v>
      </c>
      <c r="G180" s="29" t="s">
        <v>763</v>
      </c>
      <c r="H180">
        <f>C37</f>
        <v>0</v>
      </c>
    </row>
    <row r="181" spans="2:10" ht="12.75" hidden="1">
      <c r="B181" t="str">
        <f>"Actual Header Length (# lines= "&amp;C37&amp;"-1)x"&amp;(5+C172)</f>
        <v>Actual Header Length (# lines= -1)x5</v>
      </c>
      <c r="C181" s="8">
        <f>(C37-1)*(5+C172)</f>
        <v>-5</v>
      </c>
      <c r="D181" t="s">
        <v>727</v>
      </c>
      <c r="G181" s="29" t="str">
        <f>"Actual Header Length (# lines= "&amp;H37&amp;"-1)x"&amp;(5+H172)</f>
        <v>Actual Header Length (# lines= -1)x5</v>
      </c>
      <c r="H181">
        <f>(C37-1)*(5+C172)</f>
        <v>-5</v>
      </c>
      <c r="I181" t="s">
        <v>727</v>
      </c>
      <c r="J181" s="504"/>
    </row>
    <row r="182" spans="1:10" ht="12.75" hidden="1">
      <c r="A182" s="598"/>
      <c r="B182" t="s">
        <v>784</v>
      </c>
      <c r="C182" t="e">
        <f>(C177-1)*(5+C172)</f>
        <v>#N/A</v>
      </c>
      <c r="D182" t="s">
        <v>727</v>
      </c>
      <c r="G182" s="29" t="s">
        <v>785</v>
      </c>
      <c r="H182" t="e">
        <f>(H177-1)*(5+H172)</f>
        <v>#DIV/0!</v>
      </c>
      <c r="I182" t="s">
        <v>727</v>
      </c>
      <c r="J182" s="504"/>
    </row>
    <row r="183" spans="2:10" ht="12.75" hidden="1">
      <c r="B183" t="s">
        <v>762</v>
      </c>
      <c r="C183">
        <f>C36</f>
        <v>0</v>
      </c>
      <c r="G183" s="29" t="s">
        <v>762</v>
      </c>
      <c r="H183">
        <f>C36</f>
        <v>0</v>
      </c>
      <c r="J183" s="504"/>
    </row>
    <row r="184" spans="2:10" ht="12.75" hidden="1">
      <c r="B184" t="s">
        <v>760</v>
      </c>
      <c r="C184">
        <f>IF((C183*C181)/100&gt;1,ROUNDDOWN(C181*C183/100,0),0)</f>
        <v>0</v>
      </c>
      <c r="G184" s="29" t="s">
        <v>760</v>
      </c>
      <c r="H184">
        <f>IF((H183*H181)/100&gt;1,ROUNDDOWN(H181*H183/100,0),0)</f>
        <v>0</v>
      </c>
      <c r="J184" s="504"/>
    </row>
    <row r="185" spans="2:10" ht="12.75" hidden="1">
      <c r="B185" t="str">
        <f>"Min. No. "&amp;C172&amp;" ft. trenches required Less PH"</f>
        <v>Min. No. 0 ft. trenches required Less PH</v>
      </c>
      <c r="C185">
        <f>C180-C184</f>
        <v>0</v>
      </c>
      <c r="G185" s="29" t="str">
        <f>"Min. No. "&amp;H172&amp;" ft. trenches required Less PH"</f>
        <v>Min. No. 0 ft. trenches required Less PH</v>
      </c>
      <c r="H185">
        <f>H180-H184</f>
        <v>0</v>
      </c>
      <c r="J185" s="504"/>
    </row>
    <row r="186" spans="1:10" ht="12.75" hidden="1">
      <c r="A186" s="598"/>
      <c r="B186" t="s">
        <v>761</v>
      </c>
      <c r="C186" s="138" t="e">
        <f>(C177-1-C184)*(5+C172)</f>
        <v>#N/A</v>
      </c>
      <c r="D186" t="s">
        <v>730</v>
      </c>
      <c r="G186" s="29" t="s">
        <v>761</v>
      </c>
      <c r="H186" s="138" t="e">
        <f>(H177-1-H184)*(5+C172)</f>
        <v>#DIV/0!</v>
      </c>
      <c r="I186" t="s">
        <v>730</v>
      </c>
      <c r="J186" s="504"/>
    </row>
    <row r="187" spans="2:9" ht="12.75" hidden="1">
      <c r="B187" t="e">
        <f>"DA actual width = "&amp;C186&amp;" + "&amp;C172</f>
        <v>#N/A</v>
      </c>
      <c r="C187" s="83" t="e">
        <f>C186+C172</f>
        <v>#N/A</v>
      </c>
      <c r="D187" t="s">
        <v>733</v>
      </c>
      <c r="G187" s="29" t="e">
        <f>"DA actual width = "&amp;H186&amp;" + "&amp;H172</f>
        <v>#DIV/0!</v>
      </c>
      <c r="H187" s="83" t="e">
        <f>H186+H172</f>
        <v>#DIV/0!</v>
      </c>
      <c r="I187" t="s">
        <v>733</v>
      </c>
    </row>
    <row r="188" spans="1:8" ht="12.75" hidden="1">
      <c r="A188" s="598"/>
      <c r="B188" t="e">
        <f>C176&amp;" ln.ft. "&amp;C172&amp;" ft. trench less "&amp;C186&amp;" ln ft. PH"</f>
        <v>#N/A</v>
      </c>
      <c r="C188" s="138" t="e">
        <f>IF(C183&gt;0,C176-C186,C176)</f>
        <v>#N/A</v>
      </c>
      <c r="G188" s="29" t="e">
        <f>H176&amp;" ln.ft. "&amp;H172&amp;" ft. trench less "&amp;H186&amp;" ln ft. PH"</f>
        <v>#DIV/0!</v>
      </c>
      <c r="H188" s="138" t="e">
        <f>IF(H183&gt;0,H176-H186,H176)</f>
        <v>#DIV/0!</v>
      </c>
    </row>
    <row r="189" spans="1:9" ht="12.75" hidden="1">
      <c r="A189" s="598"/>
      <c r="B189" t="e">
        <f>"DA length =  "&amp;C188&amp;" lf  / "&amp;C185&amp;" lines + (.5x"&amp;C172&amp;")"</f>
        <v>#N/A</v>
      </c>
      <c r="C189" s="83" t="e">
        <f>ROUNDUP(C188/C185+(0.5*C172),0)</f>
        <v>#N/A</v>
      </c>
      <c r="D189" t="s">
        <v>734</v>
      </c>
      <c r="G189" s="29" t="e">
        <f>"DA length =  "&amp;H188&amp;" lf  / "&amp;H185&amp;" lines + (.5x"&amp;H172&amp;")"</f>
        <v>#DIV/0!</v>
      </c>
      <c r="H189" s="83" t="e">
        <f>ROUNDUP(H188/H185+(0.5*H172),0)</f>
        <v>#DIV/0!</v>
      </c>
      <c r="I189" t="s">
        <v>734</v>
      </c>
    </row>
    <row r="190" spans="3:8" ht="12.75" hidden="1">
      <c r="C190" s="83"/>
      <c r="G190" s="29"/>
      <c r="H190" s="83"/>
    </row>
    <row r="191" ht="12.75" hidden="1"/>
    <row r="192" spans="2:7" ht="12.75" hidden="1">
      <c r="B192" s="83" t="s">
        <v>736</v>
      </c>
      <c r="G192" s="552" t="s">
        <v>759</v>
      </c>
    </row>
    <row r="193" spans="2:9" ht="12.75" hidden="1">
      <c r="B193" t="s">
        <v>458</v>
      </c>
      <c r="C193" t="e">
        <f>C189+10</f>
        <v>#N/A</v>
      </c>
      <c r="D193" t="s">
        <v>730</v>
      </c>
      <c r="G193" s="29" t="s">
        <v>458</v>
      </c>
      <c r="H193" t="e">
        <f>H189+10</f>
        <v>#DIV/0!</v>
      </c>
      <c r="I193" t="s">
        <v>730</v>
      </c>
    </row>
    <row r="194" spans="2:9" ht="12.75" hidden="1">
      <c r="B194" t="s">
        <v>436</v>
      </c>
      <c r="C194" t="e">
        <f>C187+10</f>
        <v>#N/A</v>
      </c>
      <c r="D194" t="s">
        <v>730</v>
      </c>
      <c r="G194" s="29" t="s">
        <v>436</v>
      </c>
      <c r="H194" t="e">
        <f>H187+10</f>
        <v>#DIV/0!</v>
      </c>
      <c r="I194" t="s">
        <v>730</v>
      </c>
    </row>
    <row r="195" spans="2:9" ht="12.75" hidden="1">
      <c r="B195" t="s">
        <v>737</v>
      </c>
      <c r="C195" t="e">
        <f>C193*C194</f>
        <v>#N/A</v>
      </c>
      <c r="D195" t="s">
        <v>39</v>
      </c>
      <c r="G195" s="29" t="s">
        <v>737</v>
      </c>
      <c r="H195" t="e">
        <f>H193*H194</f>
        <v>#DIV/0!</v>
      </c>
      <c r="I195" t="s">
        <v>39</v>
      </c>
    </row>
    <row r="196" ht="12.75" hidden="1"/>
    <row r="197" spans="2:10" ht="12.75" hidden="1">
      <c r="B197" s="83" t="s">
        <v>738</v>
      </c>
      <c r="G197" s="552" t="s">
        <v>746</v>
      </c>
      <c r="I197" s="29" t="s">
        <v>754</v>
      </c>
      <c r="J197">
        <f>IF(AND(C12+Calc!P4&gt;0,C12+Calc!P4&lt;6),6,C12+Calc!P4)</f>
        <v>0</v>
      </c>
    </row>
    <row r="198" spans="2:7" ht="12.75" hidden="1">
      <c r="B198" t="s">
        <v>739</v>
      </c>
      <c r="G198" s="29" t="s">
        <v>739</v>
      </c>
    </row>
    <row r="199" spans="2:9" ht="12.75" hidden="1">
      <c r="B199" t="s">
        <v>750</v>
      </c>
      <c r="C199" t="e">
        <f>C33</f>
        <v>#N/A</v>
      </c>
      <c r="D199" t="s">
        <v>665</v>
      </c>
      <c r="G199" s="29" t="s">
        <v>740</v>
      </c>
      <c r="H199">
        <f>J197+12+12</f>
        <v>24</v>
      </c>
      <c r="I199" t="s">
        <v>665</v>
      </c>
    </row>
    <row r="200" spans="7:9" ht="12.75" hidden="1">
      <c r="G200" s="29" t="s">
        <v>793</v>
      </c>
      <c r="H200">
        <f>H199/12</f>
        <v>2</v>
      </c>
      <c r="I200" t="s">
        <v>730</v>
      </c>
    </row>
    <row r="201" spans="2:9" ht="12.75" hidden="1">
      <c r="B201" t="s">
        <v>749</v>
      </c>
      <c r="C201" t="e">
        <f>3*C199</f>
        <v>#N/A</v>
      </c>
      <c r="D201" t="s">
        <v>665</v>
      </c>
      <c r="G201" s="29" t="s">
        <v>741</v>
      </c>
      <c r="H201">
        <f>3*H199</f>
        <v>72</v>
      </c>
      <c r="I201" t="s">
        <v>665</v>
      </c>
    </row>
    <row r="202" spans="2:9" ht="12.75" hidden="1">
      <c r="B202" t="s">
        <v>748</v>
      </c>
      <c r="C202" t="e">
        <f>C201*2/12</f>
        <v>#N/A</v>
      </c>
      <c r="D202" t="s">
        <v>730</v>
      </c>
      <c r="G202" s="29" t="s">
        <v>742</v>
      </c>
      <c r="H202">
        <f>H201*2/12</f>
        <v>12</v>
      </c>
      <c r="I202" t="s">
        <v>730</v>
      </c>
    </row>
    <row r="203" spans="2:9" ht="12.75" hidden="1">
      <c r="B203" t="s">
        <v>743</v>
      </c>
      <c r="C203" t="e">
        <f>C202+C193</f>
        <v>#N/A</v>
      </c>
      <c r="D203" t="s">
        <v>730</v>
      </c>
      <c r="G203" s="29" t="s">
        <v>743</v>
      </c>
      <c r="H203" t="e">
        <f>H202+H193</f>
        <v>#DIV/0!</v>
      </c>
      <c r="I203" t="s">
        <v>730</v>
      </c>
    </row>
    <row r="204" spans="2:9" ht="12.75" hidden="1">
      <c r="B204" t="s">
        <v>744</v>
      </c>
      <c r="C204" t="e">
        <f>C202+C194</f>
        <v>#N/A</v>
      </c>
      <c r="D204" t="s">
        <v>730</v>
      </c>
      <c r="G204" s="29" t="s">
        <v>744</v>
      </c>
      <c r="H204" t="e">
        <f>H202+H194</f>
        <v>#DIV/0!</v>
      </c>
      <c r="I204" t="s">
        <v>730</v>
      </c>
    </row>
    <row r="205" spans="2:9" ht="12.75" hidden="1">
      <c r="B205" t="s">
        <v>745</v>
      </c>
      <c r="C205" t="e">
        <f>C204*C203</f>
        <v>#N/A</v>
      </c>
      <c r="D205" t="s">
        <v>39</v>
      </c>
      <c r="G205" s="29" t="s">
        <v>745</v>
      </c>
      <c r="H205" t="e">
        <f>H204*H203</f>
        <v>#DIV/0!</v>
      </c>
      <c r="I205" t="s">
        <v>39</v>
      </c>
    </row>
    <row r="206" ht="12.75" hidden="1"/>
    <row r="207" ht="12.75" hidden="1">
      <c r="G207" s="29" t="s">
        <v>797</v>
      </c>
    </row>
    <row r="208" spans="7:10" ht="12.75" hidden="1">
      <c r="G208" s="29" t="s">
        <v>796</v>
      </c>
      <c r="H208" t="e">
        <f>C203-H193</f>
        <v>#N/A</v>
      </c>
      <c r="I208" t="s">
        <v>730</v>
      </c>
      <c r="J208" t="e">
        <f>C203&amp;" - "&amp;H193</f>
        <v>#N/A</v>
      </c>
    </row>
    <row r="209" spans="7:10" ht="12.75" hidden="1">
      <c r="G209" s="29" t="s">
        <v>792</v>
      </c>
      <c r="H209" t="e">
        <f>C204-H194</f>
        <v>#N/A</v>
      </c>
      <c r="I209" t="s">
        <v>730</v>
      </c>
      <c r="J209" t="e">
        <f>C204&amp;" - "&amp;H194</f>
        <v>#N/A</v>
      </c>
    </row>
    <row r="210" spans="7:9" ht="12.75" hidden="1">
      <c r="G210" s="29" t="s">
        <v>795</v>
      </c>
      <c r="H210" t="e">
        <f>ROUNDUP(H208/H200,0.5)</f>
        <v>#N/A</v>
      </c>
      <c r="I210" t="s">
        <v>614</v>
      </c>
    </row>
    <row r="211" spans="7:9" ht="12.75" hidden="1">
      <c r="G211" s="29" t="s">
        <v>794</v>
      </c>
      <c r="H211" t="e">
        <f>ROUNDUP(H209/H200,0.5)</f>
        <v>#N/A</v>
      </c>
      <c r="I211" t="s">
        <v>614</v>
      </c>
    </row>
    <row r="212" ht="12.75" hidden="1"/>
    <row r="271" spans="1:10" ht="12.75">
      <c r="A271" s="25"/>
      <c r="B271" s="25" t="s">
        <v>770</v>
      </c>
      <c r="C271" s="25"/>
      <c r="D271" s="25"/>
      <c r="E271" s="25"/>
      <c r="F271" s="25"/>
      <c r="G271" s="25"/>
      <c r="H271" s="25"/>
      <c r="I271" s="25"/>
      <c r="J271" s="25"/>
    </row>
    <row r="272" spans="1:10" ht="12.75">
      <c r="A272" s="25"/>
      <c r="B272" s="25" t="s">
        <v>758</v>
      </c>
      <c r="C272" s="25">
        <f>IF(OR(C14="Y",C15="Y"),3,C21)</f>
        <v>0</v>
      </c>
      <c r="D272" s="25"/>
      <c r="E272" s="25"/>
      <c r="F272" s="25"/>
      <c r="G272" s="25"/>
      <c r="H272" s="25"/>
      <c r="I272" s="25"/>
      <c r="J272" s="25"/>
    </row>
    <row r="273" spans="1:10" ht="12.75">
      <c r="A273" s="25"/>
      <c r="B273" s="141" t="s">
        <v>735</v>
      </c>
      <c r="C273" s="25"/>
      <c r="D273" s="25"/>
      <c r="E273" s="25"/>
      <c r="F273" s="25"/>
      <c r="G273" s="25"/>
      <c r="H273" s="25"/>
      <c r="I273" s="25"/>
      <c r="J273" s="25"/>
    </row>
    <row r="274" spans="1:10" ht="12.75">
      <c r="A274" s="25"/>
      <c r="B274" s="588" t="s">
        <v>731</v>
      </c>
      <c r="C274" s="25"/>
      <c r="D274" s="25"/>
      <c r="E274" s="25"/>
      <c r="F274" s="25"/>
      <c r="G274" s="25"/>
      <c r="H274" s="25"/>
      <c r="I274" s="25"/>
      <c r="J274" s="25"/>
    </row>
    <row r="275" spans="1:10" ht="12.75">
      <c r="A275" s="25"/>
      <c r="B275" s="25" t="s">
        <v>728</v>
      </c>
      <c r="C275" s="25" t="e">
        <f>C10</f>
        <v>#N/A</v>
      </c>
      <c r="D275" s="25" t="s">
        <v>39</v>
      </c>
      <c r="E275" s="25"/>
      <c r="F275" s="25"/>
      <c r="G275" s="25"/>
      <c r="H275" s="25"/>
      <c r="I275" s="25"/>
      <c r="J275" s="25"/>
    </row>
    <row r="276" spans="1:10" ht="12.75">
      <c r="A276" s="25"/>
      <c r="B276" s="25" t="str">
        <f>"Ln.Ft. "&amp;C272&amp;" ft. trench"</f>
        <v>Ln.Ft. 0 ft. trench</v>
      </c>
      <c r="C276" s="25" t="e">
        <f>ROUNDUP(C275/C272,0.5)</f>
        <v>#N/A</v>
      </c>
      <c r="D276" s="25"/>
      <c r="E276" s="25"/>
      <c r="F276" s="25"/>
      <c r="G276" s="25"/>
      <c r="H276" s="25"/>
      <c r="I276" s="25"/>
      <c r="J276" s="25"/>
    </row>
    <row r="277" spans="1:10" ht="12.75">
      <c r="A277" s="598"/>
      <c r="B277" s="25" t="e">
        <f>"Min. No. "&amp;C272&amp;" ft.trenches required = "&amp;C276&amp;"/100 ft."</f>
        <v>#N/A</v>
      </c>
      <c r="C277" s="25" t="e">
        <f>ROUNDUP((C275/C272)/100,0)</f>
        <v>#N/A</v>
      </c>
      <c r="D277" s="25" t="s">
        <v>729</v>
      </c>
      <c r="E277" s="25"/>
      <c r="F277" s="25"/>
      <c r="G277" s="25"/>
      <c r="H277" s="25"/>
      <c r="I277" s="25"/>
      <c r="J277" s="25"/>
    </row>
    <row r="278" spans="1:10" ht="12.75">
      <c r="A278" s="598"/>
      <c r="B278" s="25" t="e">
        <f>"Calculated length each line = ("&amp;C275&amp;"/"&amp;C272&amp;")/"&amp;C277</f>
        <v>#N/A</v>
      </c>
      <c r="C278" s="25" t="e">
        <f>ROUNDUP((C275/C272)/C277,0)</f>
        <v>#N/A</v>
      </c>
      <c r="D278" s="25" t="s">
        <v>730</v>
      </c>
      <c r="E278" s="25"/>
      <c r="F278" s="25"/>
      <c r="G278" s="25"/>
      <c r="H278" s="25"/>
      <c r="I278" s="25"/>
      <c r="J278" s="25"/>
    </row>
    <row r="279" spans="1:10" ht="12.75">
      <c r="A279" s="598"/>
      <c r="B279" s="25" t="e">
        <f>"Total Sq. Ft. of lines = "&amp;C278&amp;"x"&amp;C272&amp;"x"&amp;C277</f>
        <v>#N/A</v>
      </c>
      <c r="C279" s="25" t="e">
        <f>C278*C277*C272</f>
        <v>#N/A</v>
      </c>
      <c r="D279" s="25" t="s">
        <v>39</v>
      </c>
      <c r="E279" s="25"/>
      <c r="F279" s="25"/>
      <c r="G279" s="25"/>
      <c r="H279" s="25"/>
      <c r="I279" s="25"/>
      <c r="J279" s="25"/>
    </row>
    <row r="280" spans="1:10" ht="12.75">
      <c r="A280" s="598"/>
      <c r="B280" s="25" t="s">
        <v>732</v>
      </c>
      <c r="C280" s="25" t="e">
        <f>(C277-1)*(5+C272)+C272</f>
        <v>#N/A</v>
      </c>
      <c r="D280" s="25" t="s">
        <v>727</v>
      </c>
      <c r="E280" s="25"/>
      <c r="F280" s="25"/>
      <c r="G280" s="25"/>
      <c r="H280" s="25"/>
      <c r="I280" s="25"/>
      <c r="J280" s="25"/>
    </row>
    <row r="281" spans="1:10" ht="12.75">
      <c r="A281" s="25"/>
      <c r="B281" s="25" t="s">
        <v>763</v>
      </c>
      <c r="C281" s="25">
        <f>C37</f>
        <v>0</v>
      </c>
      <c r="D281" s="25"/>
      <c r="E281" s="25"/>
      <c r="F281" s="25"/>
      <c r="G281" s="25"/>
      <c r="H281" s="25"/>
      <c r="I281" s="25"/>
      <c r="J281" s="25"/>
    </row>
    <row r="282" spans="1:10" ht="12.75">
      <c r="A282" s="25"/>
      <c r="B282" s="25" t="str">
        <f>"Actual Header Length (# lines= "&amp;C37&amp;"-1)x"&amp;(5+C272)</f>
        <v>Actual Header Length (# lines= -1)x5</v>
      </c>
      <c r="C282" s="25">
        <f>(C37-1)*(5+C272)</f>
        <v>-5</v>
      </c>
      <c r="D282" s="25" t="s">
        <v>727</v>
      </c>
      <c r="E282" s="599" t="s">
        <v>787</v>
      </c>
      <c r="F282" s="25"/>
      <c r="G282" s="25"/>
      <c r="H282" s="25"/>
      <c r="I282" s="25"/>
      <c r="J282" s="25"/>
    </row>
    <row r="283" spans="1:10" ht="12.75">
      <c r="A283" s="25"/>
      <c r="B283" s="25" t="s">
        <v>762</v>
      </c>
      <c r="C283" s="25">
        <f>C36</f>
        <v>0</v>
      </c>
      <c r="D283" s="25"/>
      <c r="E283" s="599" t="s">
        <v>788</v>
      </c>
      <c r="F283" s="25"/>
      <c r="G283" s="25"/>
      <c r="H283" s="25"/>
      <c r="I283" s="25"/>
      <c r="J283" s="25"/>
    </row>
    <row r="284" spans="1:10" ht="12.75">
      <c r="A284" s="25"/>
      <c r="B284" s="25" t="s">
        <v>760</v>
      </c>
      <c r="C284" s="25">
        <f>IF((C283*C282)/100&gt;1,ROUNDDOWN(C282*C283/100,0),0)</f>
        <v>0</v>
      </c>
      <c r="D284" s="25"/>
      <c r="E284" s="599" t="s">
        <v>788</v>
      </c>
      <c r="F284" s="25"/>
      <c r="G284" s="25"/>
      <c r="H284" s="25"/>
      <c r="I284" s="25"/>
      <c r="J284" s="25"/>
    </row>
    <row r="285" spans="1:10" ht="12.75">
      <c r="A285" s="25"/>
      <c r="B285" s="25" t="str">
        <f>"Min. No. "&amp;C272&amp;" ft. trenches required Less PH&gt;100'"</f>
        <v>Min. No. 0 ft. trenches required Less PH&gt;100'</v>
      </c>
      <c r="C285" s="25">
        <f>C281-C284</f>
        <v>0</v>
      </c>
      <c r="D285" s="25"/>
      <c r="E285" s="599" t="s">
        <v>788</v>
      </c>
      <c r="F285" s="25"/>
      <c r="G285" s="25"/>
      <c r="H285" s="25"/>
      <c r="I285" s="25"/>
      <c r="J285" s="25"/>
    </row>
    <row r="286" spans="1:10" ht="12.75">
      <c r="A286" s="598"/>
      <c r="B286" s="25" t="s">
        <v>789</v>
      </c>
      <c r="C286" s="589">
        <f>(C281-1-C284)*(5+C272)</f>
        <v>-5</v>
      </c>
      <c r="D286" s="25" t="s">
        <v>730</v>
      </c>
      <c r="E286" s="599" t="s">
        <v>788</v>
      </c>
      <c r="F286" s="25"/>
      <c r="G286" s="25"/>
      <c r="H286" s="25"/>
      <c r="I286" s="25"/>
      <c r="J286" s="25"/>
    </row>
    <row r="287" spans="1:10" ht="12.75">
      <c r="A287" s="25"/>
      <c r="B287" s="25" t="str">
        <f>"DA actual width = "&amp;C286&amp;" + "&amp;C272</f>
        <v>DA actual width = -5 + 0</v>
      </c>
      <c r="C287" s="141">
        <f>C286+C272</f>
        <v>-5</v>
      </c>
      <c r="D287" s="25" t="s">
        <v>733</v>
      </c>
      <c r="E287" s="599" t="s">
        <v>786</v>
      </c>
      <c r="F287" s="25"/>
      <c r="G287" s="25"/>
      <c r="H287" s="25"/>
      <c r="I287" s="25"/>
      <c r="J287" s="25"/>
    </row>
    <row r="288" spans="1:10" ht="12.75">
      <c r="A288" s="598"/>
      <c r="B288" s="25" t="e">
        <f>C276&amp;" ln.ft. "&amp;C272&amp;" ft. trench less "&amp;C286&amp;" ln ft. PH"</f>
        <v>#N/A</v>
      </c>
      <c r="C288" s="589" t="e">
        <f>IF(C283&gt;0,C276-C286,C276)</f>
        <v>#N/A</v>
      </c>
      <c r="D288" s="25"/>
      <c r="E288" s="25"/>
      <c r="F288" s="25"/>
      <c r="G288" s="25"/>
      <c r="H288" s="25"/>
      <c r="I288" s="25"/>
      <c r="J288" s="25"/>
    </row>
    <row r="289" spans="1:10" ht="12.75">
      <c r="A289" s="598"/>
      <c r="B289" s="25" t="e">
        <f>"DA length =  "&amp;C288&amp;" lf  / "&amp;C285&amp;" lines + (.5x"&amp;C272&amp;")"</f>
        <v>#N/A</v>
      </c>
      <c r="C289" s="141" t="e">
        <f>ROUNDUP(C288/C285+(0.5*C272),0)</f>
        <v>#N/A</v>
      </c>
      <c r="D289" s="25" t="s">
        <v>734</v>
      </c>
      <c r="E289" s="25"/>
      <c r="F289" s="25"/>
      <c r="G289" s="25"/>
      <c r="H289" s="25"/>
      <c r="I289" s="25"/>
      <c r="J289" s="25"/>
    </row>
    <row r="290" spans="1:10" ht="12.75">
      <c r="A290" s="25"/>
      <c r="B290" s="25"/>
      <c r="C290" s="141"/>
      <c r="D290" s="25"/>
      <c r="E290" s="25"/>
      <c r="F290" s="25"/>
      <c r="G290" s="25"/>
      <c r="H290" s="25"/>
      <c r="I290" s="25"/>
      <c r="J290" s="25"/>
    </row>
    <row r="291" spans="1:10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</row>
    <row r="292" spans="1:10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</row>
    <row r="293" spans="1:10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</row>
    <row r="294" spans="1:10" ht="12.75">
      <c r="A294" s="25"/>
      <c r="B294" s="141" t="s">
        <v>736</v>
      </c>
      <c r="C294" s="25"/>
      <c r="D294" s="25"/>
      <c r="E294" s="25"/>
      <c r="F294" s="25"/>
      <c r="G294" s="25"/>
      <c r="H294" s="25"/>
      <c r="I294" s="25"/>
      <c r="J294" s="25"/>
    </row>
    <row r="295" spans="1:10" ht="12.75">
      <c r="A295" s="25"/>
      <c r="B295" s="25" t="s">
        <v>458</v>
      </c>
      <c r="C295" s="25">
        <f>C287+10</f>
        <v>5</v>
      </c>
      <c r="D295" s="25" t="s">
        <v>730</v>
      </c>
      <c r="E295" s="25"/>
      <c r="F295" s="25"/>
      <c r="G295" s="25"/>
      <c r="H295" s="25"/>
      <c r="I295" s="25"/>
      <c r="J295" s="25"/>
    </row>
    <row r="296" spans="1:10" ht="12.75">
      <c r="A296" s="25"/>
      <c r="B296" s="25" t="s">
        <v>436</v>
      </c>
      <c r="C296" s="25" t="e">
        <f>C289+10</f>
        <v>#N/A</v>
      </c>
      <c r="D296" s="25" t="s">
        <v>730</v>
      </c>
      <c r="E296" s="25"/>
      <c r="F296" s="25"/>
      <c r="G296" s="25"/>
      <c r="H296" s="25"/>
      <c r="I296" s="25"/>
      <c r="J296" s="25"/>
    </row>
    <row r="297" spans="1:10" ht="12.75">
      <c r="A297" s="25"/>
      <c r="B297" s="25" t="s">
        <v>737</v>
      </c>
      <c r="C297" s="25" t="e">
        <f>C295*C296</f>
        <v>#N/A</v>
      </c>
      <c r="D297" s="25" t="s">
        <v>39</v>
      </c>
      <c r="E297" s="25"/>
      <c r="F297" s="25"/>
      <c r="G297" s="25"/>
      <c r="H297" s="25"/>
      <c r="I297" s="25"/>
      <c r="J297" s="25"/>
    </row>
    <row r="298" spans="1:10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</row>
    <row r="299" spans="1:10" ht="12.75">
      <c r="A299" s="25"/>
      <c r="B299" s="141" t="s">
        <v>738</v>
      </c>
      <c r="C299" s="25"/>
      <c r="D299" s="25"/>
      <c r="E299" s="25"/>
      <c r="F299" s="25"/>
      <c r="G299" s="25"/>
      <c r="H299" s="25"/>
      <c r="I299" s="25"/>
      <c r="J299" s="25"/>
    </row>
    <row r="300" spans="1:10" ht="12.75">
      <c r="A300" s="25"/>
      <c r="B300" s="25" t="s">
        <v>739</v>
      </c>
      <c r="C300" s="25"/>
      <c r="D300" s="25"/>
      <c r="E300" s="25"/>
      <c r="F300" s="25"/>
      <c r="G300" s="25"/>
      <c r="H300" s="25"/>
      <c r="I300" s="25"/>
      <c r="J300" s="25"/>
    </row>
    <row r="301" spans="1:10" ht="12.75">
      <c r="A301" s="25"/>
      <c r="B301" s="25" t="s">
        <v>750</v>
      </c>
      <c r="C301" s="25" t="e">
        <f>C33</f>
        <v>#N/A</v>
      </c>
      <c r="D301" s="25" t="s">
        <v>665</v>
      </c>
      <c r="E301" s="25"/>
      <c r="F301" s="25"/>
      <c r="G301" s="25"/>
      <c r="H301" s="25"/>
      <c r="I301" s="25"/>
      <c r="J301" s="25"/>
    </row>
    <row r="302" spans="1:10" ht="12.75">
      <c r="A302" s="25"/>
      <c r="B302" s="25" t="s">
        <v>749</v>
      </c>
      <c r="C302" s="25" t="e">
        <f>3*C301</f>
        <v>#N/A</v>
      </c>
      <c r="D302" s="25" t="s">
        <v>665</v>
      </c>
      <c r="E302" s="25"/>
      <c r="F302" s="25"/>
      <c r="G302" s="25"/>
      <c r="H302" s="25"/>
      <c r="I302" s="25"/>
      <c r="J302" s="25"/>
    </row>
    <row r="303" spans="1:10" ht="12.75">
      <c r="A303" s="25"/>
      <c r="B303" s="25" t="s">
        <v>748</v>
      </c>
      <c r="C303" s="25" t="e">
        <f>C302*2/12</f>
        <v>#N/A</v>
      </c>
      <c r="D303" s="25" t="s">
        <v>730</v>
      </c>
      <c r="E303" s="25"/>
      <c r="F303" s="25"/>
      <c r="G303" s="25"/>
      <c r="H303" s="25"/>
      <c r="I303" s="25"/>
      <c r="J303" s="25"/>
    </row>
    <row r="304" spans="1:10" ht="12.75">
      <c r="A304" s="25"/>
      <c r="B304" s="25" t="s">
        <v>743</v>
      </c>
      <c r="C304" s="25" t="e">
        <f>C303+C295</f>
        <v>#N/A</v>
      </c>
      <c r="D304" s="25" t="s">
        <v>730</v>
      </c>
      <c r="E304" s="25"/>
      <c r="F304" s="25"/>
      <c r="G304" s="25"/>
      <c r="H304" s="25"/>
      <c r="I304" s="25"/>
      <c r="J304" s="25"/>
    </row>
    <row r="305" spans="1:10" ht="12.75">
      <c r="A305" s="25"/>
      <c r="B305" s="25" t="s">
        <v>744</v>
      </c>
      <c r="C305" s="25" t="e">
        <f>C303+C296</f>
        <v>#N/A</v>
      </c>
      <c r="D305" s="25" t="s">
        <v>730</v>
      </c>
      <c r="E305" s="25"/>
      <c r="F305" s="25"/>
      <c r="G305" s="25"/>
      <c r="H305" s="25"/>
      <c r="I305" s="25"/>
      <c r="J305" s="25"/>
    </row>
    <row r="306" spans="1:10" ht="12.75">
      <c r="A306" s="25"/>
      <c r="B306" s="25" t="s">
        <v>745</v>
      </c>
      <c r="C306" s="25" t="e">
        <f>C305*C304</f>
        <v>#N/A</v>
      </c>
      <c r="D306" s="25" t="s">
        <v>39</v>
      </c>
      <c r="E306" s="25"/>
      <c r="F306" s="25"/>
      <c r="G306" s="25"/>
      <c r="H306" s="25"/>
      <c r="I306" s="25"/>
      <c r="J306" s="25"/>
    </row>
  </sheetData>
  <sheetProtection password="CFD7" sheet="1"/>
  <mergeCells count="1">
    <mergeCell ref="E11:I11"/>
  </mergeCells>
  <dataValidations count="6">
    <dataValidation allowBlank="1" showInputMessage="1" showErrorMessage="1" prompt="USE CAPS FOR &quot;Y&quot; or &quot;N&quot;.   PRETREATMENT REQUIRED WHEN ROCK &lt;12&quot;, ASHES &lt;6&quot;, OR PERC &gt;240 MPI" sqref="C15"/>
    <dataValidation allowBlank="1" showInputMessage="1" showErrorMessage="1" prompt="PRE-TREATMENT REQUIRED IF PERC &lt; 1 MPI OR &gt;240 MPI" sqref="C7"/>
    <dataValidation type="list" allowBlank="1" showInputMessage="1" showErrorMessage="1" prompt="USE CAPS FOR &quot;Y&quot; or &quot;N&quot;.  PRE-TREATMENT REQUIRED WHEN ROCK &lt;12&quot;, ASHES &lt;6&quot; OR PERC &gt;240 MPI." sqref="C14">
      <formula1>YN</formula1>
    </dataValidation>
    <dataValidation allowBlank="1" showInputMessage="1" showErrorMessage="1" prompt="ENTRIES MADE IN 1 COLUMN [T or U] ONLY&#10;" sqref="S88"/>
    <dataValidation allowBlank="1" showInputMessage="1" showErrorMessage="1" prompt="ENTRIES MADE IN 1 COLLUMN [T or U] ONLY" sqref="T88"/>
    <dataValidation type="list" allowBlank="1" showInputMessage="1" showErrorMessage="1" sqref="C11">
      <formula1>TYPE</formula1>
    </dataValidation>
  </dataValidations>
  <printOptions/>
  <pageMargins left="0.5" right="0.25" top="0.5" bottom="0.5" header="0.5" footer="0.5"/>
  <pageSetup fitToHeight="2" horizontalDpi="300" verticalDpi="300" orientation="landscape" scale="41" r:id="rId4"/>
  <colBreaks count="1" manualBreakCount="1">
    <brk id="16" max="113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R82"/>
  <sheetViews>
    <sheetView zoomScale="75" zoomScaleNormal="75" zoomScalePageLayoutView="0" workbookViewId="0" topLeftCell="A1">
      <pane ySplit="6" topLeftCell="A10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2.57421875" style="33" customWidth="1"/>
    <col min="2" max="2" width="7.00390625" style="549" customWidth="1"/>
    <col min="3" max="3" width="38.421875" style="0" customWidth="1"/>
    <col min="6" max="6" width="9.57421875" style="0" customWidth="1"/>
    <col min="8" max="8" width="12.28125" style="0" bestFit="1" customWidth="1"/>
    <col min="11" max="11" width="12.8515625" style="291" customWidth="1"/>
    <col min="12" max="12" width="13.140625" style="0" customWidth="1"/>
    <col min="13" max="13" width="13.57421875" style="0" customWidth="1"/>
    <col min="14" max="14" width="3.00390625" style="0" customWidth="1"/>
  </cols>
  <sheetData>
    <row r="1" spans="1:12" ht="12.75">
      <c r="A1" s="33">
        <v>0</v>
      </c>
      <c r="B1" s="549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7</v>
      </c>
      <c r="I1" s="33">
        <v>8</v>
      </c>
      <c r="J1" s="33"/>
      <c r="K1" s="392">
        <v>10</v>
      </c>
      <c r="L1" s="33">
        <v>11</v>
      </c>
    </row>
    <row r="2" spans="1:11" ht="12.75">
      <c r="A2" s="389" t="s">
        <v>536</v>
      </c>
      <c r="B2" s="550"/>
      <c r="C2" s="74"/>
      <c r="D2" s="74"/>
      <c r="E2" s="74"/>
      <c r="F2" s="74"/>
      <c r="G2" s="74"/>
      <c r="H2" s="74"/>
      <c r="I2" s="74"/>
      <c r="J2" s="74"/>
      <c r="K2" s="388"/>
    </row>
    <row r="3" spans="3:12" ht="12.75">
      <c r="C3" t="s">
        <v>420</v>
      </c>
      <c r="D3" s="394"/>
      <c r="E3" s="394"/>
      <c r="F3" s="394"/>
      <c r="G3" s="395" t="s">
        <v>517</v>
      </c>
      <c r="H3" s="519" t="e">
        <f>AppData!C10</f>
        <v>#N/A</v>
      </c>
      <c r="I3" s="394" t="s">
        <v>516</v>
      </c>
      <c r="J3" s="394"/>
      <c r="K3" s="520" t="e">
        <f>H3/3</f>
        <v>#N/A</v>
      </c>
      <c r="L3" s="394" t="s">
        <v>659</v>
      </c>
    </row>
    <row r="4" spans="1:12" ht="12.75">
      <c r="A4" s="33" t="s">
        <v>460</v>
      </c>
      <c r="L4" s="155" t="s">
        <v>661</v>
      </c>
    </row>
    <row r="5" spans="1:12" ht="12.75">
      <c r="A5" s="33" t="s">
        <v>461</v>
      </c>
      <c r="B5" s="549">
        <f>B82</f>
        <v>0</v>
      </c>
      <c r="C5" s="370" t="str">
        <f>IF(B82&gt;1,"WARNING: MORE THAN 1 ITEM CHECKED","Place X by ONLY one PRODUCT")</f>
        <v>Place X by ONLY one PRODUCT</v>
      </c>
      <c r="G5" s="155" t="s">
        <v>656</v>
      </c>
      <c r="H5" s="155" t="s">
        <v>56</v>
      </c>
      <c r="J5" s="33" t="s">
        <v>309</v>
      </c>
      <c r="K5" s="517" t="s">
        <v>655</v>
      </c>
      <c r="L5" s="155" t="s">
        <v>563</v>
      </c>
    </row>
    <row r="6" spans="1:12" ht="12.75">
      <c r="A6" s="33" t="s">
        <v>462</v>
      </c>
      <c r="C6" s="83" t="s">
        <v>514</v>
      </c>
      <c r="D6" s="155" t="s">
        <v>421</v>
      </c>
      <c r="E6" s="155" t="s">
        <v>436</v>
      </c>
      <c r="F6" s="424" t="s">
        <v>529</v>
      </c>
      <c r="G6" s="155" t="s">
        <v>458</v>
      </c>
      <c r="H6" s="155" t="s">
        <v>459</v>
      </c>
      <c r="I6" s="155" t="s">
        <v>214</v>
      </c>
      <c r="J6" s="155" t="s">
        <v>660</v>
      </c>
      <c r="K6" s="380" t="s">
        <v>518</v>
      </c>
      <c r="L6" s="155" t="s">
        <v>663</v>
      </c>
    </row>
    <row r="7" spans="1:12" ht="12.75">
      <c r="A7" s="547"/>
      <c r="B7" s="601">
        <f>IF(A7="x",1,"")</f>
      </c>
      <c r="C7" t="s">
        <v>657</v>
      </c>
      <c r="D7">
        <v>12</v>
      </c>
      <c r="E7">
        <v>36</v>
      </c>
      <c r="I7">
        <v>1</v>
      </c>
      <c r="K7" s="291" t="e">
        <f>H3/3</f>
        <v>#N/A</v>
      </c>
      <c r="L7" t="e">
        <f>ROUNDUP($H$3/(E7/12),0)</f>
        <v>#N/A</v>
      </c>
    </row>
    <row r="8" spans="1:12" ht="12.75">
      <c r="A8" s="547"/>
      <c r="B8" s="601">
        <f>IF(A8="x",1,"")</f>
      </c>
      <c r="C8" s="190" t="s">
        <v>658</v>
      </c>
      <c r="D8">
        <v>24</v>
      </c>
      <c r="E8">
        <v>36</v>
      </c>
      <c r="I8">
        <v>0.33</v>
      </c>
      <c r="K8" s="291" t="e">
        <f>K7-(K7*I8)</f>
        <v>#N/A</v>
      </c>
      <c r="L8" t="e">
        <f>ROUNDUP($H$3/(E8/12),0)</f>
        <v>#N/A</v>
      </c>
    </row>
    <row r="9" spans="1:2" ht="12.75">
      <c r="A9" s="232"/>
      <c r="B9" s="601">
        <f aca="true" t="shared" si="0" ref="B9:B72">IF(A9="x",1,"")</f>
      </c>
    </row>
    <row r="10" spans="1:12" ht="12.75">
      <c r="A10" s="547"/>
      <c r="B10" s="601">
        <f t="shared" si="0"/>
      </c>
      <c r="C10" t="s">
        <v>442</v>
      </c>
      <c r="D10">
        <v>8</v>
      </c>
      <c r="E10">
        <v>8</v>
      </c>
      <c r="F10">
        <v>8</v>
      </c>
      <c r="I10">
        <v>0.5</v>
      </c>
      <c r="K10" s="291" t="e">
        <f>H3*I10</f>
        <v>#N/A</v>
      </c>
      <c r="L10" t="e">
        <f>ROUNDUP($H$3/(E10/12),0)</f>
        <v>#N/A</v>
      </c>
    </row>
    <row r="11" spans="1:12" ht="12.75">
      <c r="A11" s="547"/>
      <c r="B11" s="601">
        <f t="shared" si="0"/>
      </c>
      <c r="C11" t="s">
        <v>443</v>
      </c>
      <c r="D11">
        <v>10</v>
      </c>
      <c r="E11">
        <v>10</v>
      </c>
      <c r="F11">
        <v>10</v>
      </c>
      <c r="I11">
        <v>0.333</v>
      </c>
      <c r="K11" s="291" t="e">
        <f>H3*I11</f>
        <v>#N/A</v>
      </c>
      <c r="L11" t="e">
        <f>ROUNDUP($H$3/(E11/12),0)</f>
        <v>#N/A</v>
      </c>
    </row>
    <row r="12" spans="1:2" ht="12.75">
      <c r="A12" s="232"/>
      <c r="B12" s="601">
        <f t="shared" si="0"/>
      </c>
    </row>
    <row r="13" spans="1:18" ht="12.75">
      <c r="A13" s="547"/>
      <c r="B13" s="601">
        <f>IF(A13="x",1,"")</f>
      </c>
      <c r="C13" t="s">
        <v>422</v>
      </c>
      <c r="D13">
        <v>17</v>
      </c>
      <c r="E13">
        <v>36</v>
      </c>
      <c r="G13">
        <v>48</v>
      </c>
      <c r="H13">
        <v>12</v>
      </c>
      <c r="I13">
        <v>0.55</v>
      </c>
      <c r="J13" s="382" t="e">
        <f>ROUNDUP($H$3*I13/H13,0)</f>
        <v>#N/A</v>
      </c>
      <c r="K13" s="291" t="e">
        <f>J13*G13/12</f>
        <v>#N/A</v>
      </c>
      <c r="L13" t="e">
        <f>ROUNDUP($H$3/(E13/12),0)</f>
        <v>#N/A</v>
      </c>
      <c r="M13" s="150" t="s">
        <v>355</v>
      </c>
      <c r="N13" s="381"/>
      <c r="O13" s="9"/>
      <c r="P13" s="9"/>
      <c r="Q13" s="9"/>
      <c r="R13" s="9"/>
    </row>
    <row r="14" spans="1:18" ht="12.75">
      <c r="A14" s="548"/>
      <c r="B14" s="601"/>
      <c r="C14" t="s">
        <v>519</v>
      </c>
      <c r="D14">
        <v>17</v>
      </c>
      <c r="E14">
        <v>24</v>
      </c>
      <c r="G14">
        <v>60</v>
      </c>
      <c r="H14">
        <v>10</v>
      </c>
      <c r="I14">
        <v>0.6</v>
      </c>
      <c r="J14" s="382" t="e">
        <f>ROUNDUP($H$3*I14/H14,0)</f>
        <v>#N/A</v>
      </c>
      <c r="K14" s="291" t="e">
        <f>J14*G14/12</f>
        <v>#N/A</v>
      </c>
      <c r="L14" t="e">
        <f>ROUNDUP($H$3/(E14/12),0)</f>
        <v>#N/A</v>
      </c>
      <c r="M14" s="150"/>
      <c r="N14" s="381"/>
      <c r="O14" s="9"/>
      <c r="P14" s="9"/>
      <c r="Q14" s="9"/>
      <c r="R14" s="9"/>
    </row>
    <row r="15" spans="1:12" ht="12.75">
      <c r="A15" s="232"/>
      <c r="B15" s="601">
        <f t="shared" si="0"/>
      </c>
      <c r="L15" s="291"/>
    </row>
    <row r="16" spans="1:13" ht="12.75">
      <c r="A16" s="547"/>
      <c r="B16" s="601">
        <f t="shared" si="0"/>
      </c>
      <c r="C16" t="s">
        <v>441</v>
      </c>
      <c r="D16">
        <v>10</v>
      </c>
      <c r="E16">
        <v>20</v>
      </c>
      <c r="G16">
        <v>60</v>
      </c>
      <c r="I16">
        <v>0.3</v>
      </c>
      <c r="K16" s="291" t="e">
        <f>CEILING($H$3*I16,5)</f>
        <v>#N/A</v>
      </c>
      <c r="L16" t="e">
        <f aca="true" t="shared" si="1" ref="L16:L23">CEILING($H$3/(E16/12),5)</f>
        <v>#N/A</v>
      </c>
      <c r="M16" s="291"/>
    </row>
    <row r="17" spans="1:12" ht="12.75">
      <c r="A17" s="547"/>
      <c r="B17" s="601">
        <f t="shared" si="0"/>
      </c>
      <c r="C17" t="s">
        <v>437</v>
      </c>
      <c r="D17">
        <v>20</v>
      </c>
      <c r="E17">
        <v>10</v>
      </c>
      <c r="G17">
        <v>60</v>
      </c>
      <c r="I17">
        <v>0.25</v>
      </c>
      <c r="K17" s="291" t="e">
        <f aca="true" t="shared" si="2" ref="K17:K23">CEILING($H$3*I17,5)</f>
        <v>#N/A</v>
      </c>
      <c r="L17" t="e">
        <f t="shared" si="1"/>
        <v>#N/A</v>
      </c>
    </row>
    <row r="18" spans="1:12" ht="12.75">
      <c r="A18" s="547"/>
      <c r="B18" s="601">
        <f t="shared" si="0"/>
      </c>
      <c r="C18" t="s">
        <v>423</v>
      </c>
      <c r="D18">
        <v>10</v>
      </c>
      <c r="E18">
        <v>30</v>
      </c>
      <c r="G18">
        <v>60</v>
      </c>
      <c r="I18">
        <v>0.24</v>
      </c>
      <c r="K18" s="291" t="e">
        <f t="shared" si="2"/>
        <v>#N/A</v>
      </c>
      <c r="L18" t="e">
        <f t="shared" si="1"/>
        <v>#N/A</v>
      </c>
    </row>
    <row r="19" spans="1:12" ht="12.75">
      <c r="A19" s="547"/>
      <c r="B19" s="601">
        <f t="shared" si="0"/>
      </c>
      <c r="C19" t="s">
        <v>427</v>
      </c>
      <c r="D19">
        <v>30</v>
      </c>
      <c r="E19">
        <v>10</v>
      </c>
      <c r="G19">
        <v>60</v>
      </c>
      <c r="I19">
        <v>0.16</v>
      </c>
      <c r="K19" s="291" t="e">
        <f t="shared" si="2"/>
        <v>#N/A</v>
      </c>
      <c r="L19" t="e">
        <f t="shared" si="1"/>
        <v>#N/A</v>
      </c>
    </row>
    <row r="20" spans="1:12" ht="12.75">
      <c r="A20" s="547"/>
      <c r="B20" s="601">
        <f t="shared" si="0"/>
      </c>
      <c r="C20" t="s">
        <v>425</v>
      </c>
      <c r="D20">
        <v>15</v>
      </c>
      <c r="E20">
        <v>24</v>
      </c>
      <c r="G20">
        <v>60</v>
      </c>
      <c r="I20">
        <v>0.2</v>
      </c>
      <c r="K20" s="291" t="e">
        <f>CEILING($H$3*I20,5)</f>
        <v>#N/A</v>
      </c>
      <c r="L20" t="e">
        <f t="shared" si="1"/>
        <v>#N/A</v>
      </c>
    </row>
    <row r="21" spans="1:12" ht="12.75">
      <c r="A21" s="547"/>
      <c r="B21" s="601" t="s">
        <v>401</v>
      </c>
      <c r="C21" t="s">
        <v>428</v>
      </c>
      <c r="D21">
        <v>20</v>
      </c>
      <c r="E21">
        <v>30</v>
      </c>
      <c r="G21">
        <v>60</v>
      </c>
      <c r="I21">
        <v>0.17</v>
      </c>
      <c r="K21" s="291" t="e">
        <f t="shared" si="2"/>
        <v>#N/A</v>
      </c>
      <c r="L21" t="e">
        <f t="shared" si="1"/>
        <v>#N/A</v>
      </c>
    </row>
    <row r="22" spans="1:12" ht="12.75">
      <c r="A22" s="547"/>
      <c r="B22" s="601">
        <f t="shared" si="0"/>
      </c>
      <c r="C22" t="s">
        <v>426</v>
      </c>
      <c r="D22">
        <v>30</v>
      </c>
      <c r="E22">
        <v>20</v>
      </c>
      <c r="G22">
        <v>60</v>
      </c>
      <c r="I22">
        <v>0.1</v>
      </c>
      <c r="K22" s="291" t="e">
        <f t="shared" si="2"/>
        <v>#N/A</v>
      </c>
      <c r="L22" t="e">
        <f t="shared" si="1"/>
        <v>#N/A</v>
      </c>
    </row>
    <row r="23" spans="1:12" ht="12.75">
      <c r="A23" s="547"/>
      <c r="B23" s="601">
        <f t="shared" si="0"/>
      </c>
      <c r="C23" t="s">
        <v>424</v>
      </c>
      <c r="D23">
        <v>12</v>
      </c>
      <c r="E23">
        <v>36</v>
      </c>
      <c r="G23">
        <v>60</v>
      </c>
      <c r="I23">
        <v>0.23</v>
      </c>
      <c r="K23" s="291" t="e">
        <f t="shared" si="2"/>
        <v>#N/A</v>
      </c>
      <c r="L23" t="e">
        <f t="shared" si="1"/>
        <v>#N/A</v>
      </c>
    </row>
    <row r="24" spans="1:2" ht="12.75">
      <c r="A24" s="232"/>
      <c r="B24" s="601">
        <f t="shared" si="0"/>
      </c>
    </row>
    <row r="25" spans="1:12" ht="12.75">
      <c r="A25" s="547"/>
      <c r="B25" s="601">
        <f t="shared" si="0"/>
      </c>
      <c r="C25" t="s">
        <v>429</v>
      </c>
      <c r="D25">
        <v>20</v>
      </c>
      <c r="E25">
        <v>10</v>
      </c>
      <c r="G25">
        <v>120</v>
      </c>
      <c r="I25">
        <v>0.25</v>
      </c>
      <c r="K25" s="291" t="e">
        <f aca="true" t="shared" si="3" ref="K25:K31">CEILING($H$3*I25,10)</f>
        <v>#N/A</v>
      </c>
      <c r="L25" t="e">
        <f aca="true" t="shared" si="4" ref="L25:L31">ROUNDUP($H$3/(E25/12),0)</f>
        <v>#N/A</v>
      </c>
    </row>
    <row r="26" spans="1:12" ht="12.75">
      <c r="A26" s="547"/>
      <c r="B26" s="601">
        <f t="shared" si="0"/>
      </c>
      <c r="C26" t="s">
        <v>430</v>
      </c>
      <c r="D26">
        <v>10</v>
      </c>
      <c r="E26">
        <v>20</v>
      </c>
      <c r="G26">
        <v>120</v>
      </c>
      <c r="I26">
        <v>0.1</v>
      </c>
      <c r="K26" s="291" t="e">
        <f t="shared" si="3"/>
        <v>#N/A</v>
      </c>
      <c r="L26" t="e">
        <f t="shared" si="4"/>
        <v>#N/A</v>
      </c>
    </row>
    <row r="27" spans="1:12" ht="12.75">
      <c r="A27" s="547"/>
      <c r="B27" s="601">
        <f t="shared" si="0"/>
      </c>
      <c r="C27" t="s">
        <v>431</v>
      </c>
      <c r="D27">
        <v>30</v>
      </c>
      <c r="E27">
        <v>10</v>
      </c>
      <c r="G27">
        <v>120</v>
      </c>
      <c r="I27">
        <v>0.52</v>
      </c>
      <c r="K27" s="291" t="e">
        <f t="shared" si="3"/>
        <v>#N/A</v>
      </c>
      <c r="L27" t="e">
        <f t="shared" si="4"/>
        <v>#N/A</v>
      </c>
    </row>
    <row r="28" spans="1:12" ht="12.75">
      <c r="A28" s="547"/>
      <c r="B28" s="601">
        <f t="shared" si="0"/>
      </c>
      <c r="C28" t="s">
        <v>432</v>
      </c>
      <c r="D28">
        <v>10</v>
      </c>
      <c r="E28">
        <v>30</v>
      </c>
      <c r="G28">
        <v>120</v>
      </c>
      <c r="I28">
        <v>1</v>
      </c>
      <c r="K28" s="291" t="e">
        <f t="shared" si="3"/>
        <v>#N/A</v>
      </c>
      <c r="L28" t="e">
        <f t="shared" si="4"/>
        <v>#N/A</v>
      </c>
    </row>
    <row r="29" spans="1:12" ht="12.75">
      <c r="A29" s="547"/>
      <c r="B29" s="601">
        <f t="shared" si="0"/>
      </c>
      <c r="C29" t="s">
        <v>433</v>
      </c>
      <c r="D29">
        <v>20</v>
      </c>
      <c r="E29">
        <v>30</v>
      </c>
      <c r="G29">
        <v>120</v>
      </c>
      <c r="I29">
        <v>0.49</v>
      </c>
      <c r="K29" s="291" t="e">
        <f t="shared" si="3"/>
        <v>#N/A</v>
      </c>
      <c r="L29" t="e">
        <f t="shared" si="4"/>
        <v>#N/A</v>
      </c>
    </row>
    <row r="30" spans="1:12" ht="12.75">
      <c r="A30" s="547"/>
      <c r="B30" s="601">
        <f t="shared" si="0"/>
      </c>
      <c r="C30" t="s">
        <v>434</v>
      </c>
      <c r="D30">
        <v>30</v>
      </c>
      <c r="E30">
        <v>20</v>
      </c>
      <c r="G30">
        <v>120</v>
      </c>
      <c r="I30">
        <v>0.7</v>
      </c>
      <c r="K30" s="291" t="e">
        <f t="shared" si="3"/>
        <v>#N/A</v>
      </c>
      <c r="L30" t="e">
        <f t="shared" si="4"/>
        <v>#N/A</v>
      </c>
    </row>
    <row r="31" spans="1:12" ht="12.75">
      <c r="A31" s="547"/>
      <c r="B31" s="601">
        <f t="shared" si="0"/>
      </c>
      <c r="C31" t="s">
        <v>435</v>
      </c>
      <c r="D31">
        <v>12</v>
      </c>
      <c r="E31">
        <v>36</v>
      </c>
      <c r="G31">
        <v>120</v>
      </c>
      <c r="I31">
        <v>0.25</v>
      </c>
      <c r="K31" s="291" t="e">
        <f t="shared" si="3"/>
        <v>#N/A</v>
      </c>
      <c r="L31" t="e">
        <f t="shared" si="4"/>
        <v>#N/A</v>
      </c>
    </row>
    <row r="32" spans="1:2" ht="12.75">
      <c r="A32" s="603"/>
      <c r="B32" s="601"/>
    </row>
    <row r="33" spans="1:12" ht="12.75">
      <c r="A33" s="548"/>
      <c r="B33" s="601"/>
      <c r="C33" t="s">
        <v>809</v>
      </c>
      <c r="D33">
        <v>12</v>
      </c>
      <c r="E33">
        <v>36</v>
      </c>
      <c r="G33">
        <v>120</v>
      </c>
      <c r="I33">
        <v>0.23</v>
      </c>
      <c r="K33" s="291" t="e">
        <f>CEILING($H$3*I33,5)</f>
        <v>#N/A</v>
      </c>
      <c r="L33" t="e">
        <f>CEILING($H$3/(E33/12),5)</f>
        <v>#N/A</v>
      </c>
    </row>
    <row r="34" spans="1:2" ht="12.75">
      <c r="A34" s="232"/>
      <c r="B34" s="601">
        <f t="shared" si="0"/>
      </c>
    </row>
    <row r="35" spans="1:12" ht="12.75">
      <c r="A35" s="547"/>
      <c r="B35" s="601">
        <f t="shared" si="0"/>
      </c>
      <c r="C35" t="s">
        <v>438</v>
      </c>
      <c r="D35">
        <v>8.5</v>
      </c>
      <c r="E35">
        <v>20</v>
      </c>
      <c r="G35">
        <v>120</v>
      </c>
      <c r="H35">
        <v>20</v>
      </c>
      <c r="I35">
        <v>0.55</v>
      </c>
      <c r="J35" s="382" t="e">
        <f>ROUNDUP($H$3*I35/H35,0)</f>
        <v>#N/A</v>
      </c>
      <c r="K35" s="291" t="e">
        <f>ROUNDUP((J35*G35/12),0)</f>
        <v>#N/A</v>
      </c>
      <c r="L35" t="e">
        <f>ROUNDUP($H$3/(E35/12),0)</f>
        <v>#N/A</v>
      </c>
    </row>
    <row r="36" spans="1:12" ht="12.75">
      <c r="A36" s="547"/>
      <c r="B36" s="601">
        <f t="shared" si="0"/>
      </c>
      <c r="C36" t="s">
        <v>439</v>
      </c>
      <c r="D36">
        <v>8.5</v>
      </c>
      <c r="E36">
        <v>24</v>
      </c>
      <c r="G36">
        <v>120</v>
      </c>
      <c r="H36">
        <v>25</v>
      </c>
      <c r="I36">
        <v>0.6</v>
      </c>
      <c r="J36" s="382" t="e">
        <f>ROUNDUP($H$3*I36/H36,0)</f>
        <v>#N/A</v>
      </c>
      <c r="K36" s="291" t="e">
        <f>ROUNDUP((J36*G36/12),0)</f>
        <v>#N/A</v>
      </c>
      <c r="L36" t="e">
        <f>ROUNDUP($H$3/(E36/12),0)</f>
        <v>#N/A</v>
      </c>
    </row>
    <row r="37" spans="1:12" ht="12.75">
      <c r="A37" s="547"/>
      <c r="B37" s="601">
        <f t="shared" si="0"/>
      </c>
      <c r="C37" t="s">
        <v>440</v>
      </c>
      <c r="D37">
        <v>8.5</v>
      </c>
      <c r="E37">
        <v>28</v>
      </c>
      <c r="G37">
        <v>120</v>
      </c>
      <c r="H37">
        <v>30</v>
      </c>
      <c r="I37">
        <v>0.6</v>
      </c>
      <c r="J37" s="382" t="e">
        <f>ROUNDUP($H$3*I37/H37,0)</f>
        <v>#N/A</v>
      </c>
      <c r="K37" s="291" t="e">
        <f>ROUNDUP((J37*G37/12),0)</f>
        <v>#N/A</v>
      </c>
      <c r="L37" t="e">
        <f>ROUNDUP($H$3/(E37/12),0)</f>
        <v>#N/A</v>
      </c>
    </row>
    <row r="38" spans="1:2" ht="12.75">
      <c r="A38" s="232"/>
      <c r="B38" s="601">
        <f t="shared" si="0"/>
      </c>
    </row>
    <row r="39" spans="1:12" ht="12.75">
      <c r="A39" s="547"/>
      <c r="B39" s="601">
        <f t="shared" si="0"/>
      </c>
      <c r="C39" t="s">
        <v>452</v>
      </c>
      <c r="D39">
        <v>11</v>
      </c>
      <c r="E39">
        <v>36</v>
      </c>
      <c r="G39">
        <v>75</v>
      </c>
      <c r="H39">
        <v>18.75</v>
      </c>
      <c r="I39">
        <v>0.6</v>
      </c>
      <c r="J39" s="382" t="e">
        <f aca="true" t="shared" si="5" ref="J39:J44">ROUNDUP($H$3*I39/H39,0)</f>
        <v>#N/A</v>
      </c>
      <c r="K39" s="291" t="e">
        <f aca="true" t="shared" si="6" ref="K39:K44">ROUNDUP((J39*G39/12),0)</f>
        <v>#N/A</v>
      </c>
      <c r="L39" t="e">
        <f aca="true" t="shared" si="7" ref="L39:L44">ROUNDUP($H$3/(E39/12),0)</f>
        <v>#N/A</v>
      </c>
    </row>
    <row r="40" spans="1:12" ht="12.75">
      <c r="A40" s="547"/>
      <c r="B40" s="601">
        <f t="shared" si="0"/>
      </c>
      <c r="C40" t="s">
        <v>456</v>
      </c>
      <c r="D40">
        <v>14</v>
      </c>
      <c r="E40">
        <v>36</v>
      </c>
      <c r="G40">
        <v>75</v>
      </c>
      <c r="H40">
        <v>18.75</v>
      </c>
      <c r="I40">
        <v>0.6</v>
      </c>
      <c r="J40" s="382" t="e">
        <f t="shared" si="5"/>
        <v>#N/A</v>
      </c>
      <c r="K40" s="291" t="e">
        <f t="shared" si="6"/>
        <v>#N/A</v>
      </c>
      <c r="L40" t="e">
        <f t="shared" si="7"/>
        <v>#N/A</v>
      </c>
    </row>
    <row r="41" spans="1:12" ht="12.75">
      <c r="A41" s="547"/>
      <c r="B41" s="601">
        <f t="shared" si="0"/>
      </c>
      <c r="C41" t="s">
        <v>457</v>
      </c>
      <c r="D41">
        <v>16</v>
      </c>
      <c r="E41">
        <v>36</v>
      </c>
      <c r="G41">
        <v>75</v>
      </c>
      <c r="H41">
        <v>18.75</v>
      </c>
      <c r="I41">
        <v>0.6</v>
      </c>
      <c r="J41" s="382" t="e">
        <f t="shared" si="5"/>
        <v>#N/A</v>
      </c>
      <c r="K41" s="291" t="e">
        <f t="shared" si="6"/>
        <v>#N/A</v>
      </c>
      <c r="L41" t="e">
        <f t="shared" si="7"/>
        <v>#N/A</v>
      </c>
    </row>
    <row r="42" spans="1:12" ht="12.75">
      <c r="A42" s="547"/>
      <c r="B42" s="601">
        <f t="shared" si="0"/>
      </c>
      <c r="C42" t="s">
        <v>453</v>
      </c>
      <c r="D42">
        <v>12</v>
      </c>
      <c r="E42">
        <v>36</v>
      </c>
      <c r="G42">
        <v>86</v>
      </c>
      <c r="H42">
        <v>10.75</v>
      </c>
      <c r="I42">
        <v>0.6</v>
      </c>
      <c r="J42" s="382" t="e">
        <f t="shared" si="5"/>
        <v>#N/A</v>
      </c>
      <c r="K42" s="291" t="e">
        <f t="shared" si="6"/>
        <v>#N/A</v>
      </c>
      <c r="L42" t="e">
        <f t="shared" si="7"/>
        <v>#N/A</v>
      </c>
    </row>
    <row r="43" spans="1:12" ht="12.75">
      <c r="A43" s="547"/>
      <c r="B43" s="601">
        <f t="shared" si="0"/>
      </c>
      <c r="C43" t="s">
        <v>454</v>
      </c>
      <c r="D43">
        <v>12</v>
      </c>
      <c r="E43">
        <v>36</v>
      </c>
      <c r="G43">
        <v>86</v>
      </c>
      <c r="H43">
        <v>14.33</v>
      </c>
      <c r="I43">
        <v>0.55</v>
      </c>
      <c r="J43" s="382" t="e">
        <f t="shared" si="5"/>
        <v>#N/A</v>
      </c>
      <c r="K43" s="291" t="e">
        <f t="shared" si="6"/>
        <v>#N/A</v>
      </c>
      <c r="L43" t="e">
        <f t="shared" si="7"/>
        <v>#N/A</v>
      </c>
    </row>
    <row r="44" spans="1:12" ht="12.75">
      <c r="A44" s="547"/>
      <c r="B44" s="601">
        <f t="shared" si="0"/>
      </c>
      <c r="C44" t="s">
        <v>455</v>
      </c>
      <c r="D44">
        <v>13</v>
      </c>
      <c r="E44">
        <v>36</v>
      </c>
      <c r="G44">
        <v>60</v>
      </c>
      <c r="H44">
        <v>15</v>
      </c>
      <c r="I44">
        <v>0.6</v>
      </c>
      <c r="J44" s="382" t="e">
        <f t="shared" si="5"/>
        <v>#N/A</v>
      </c>
      <c r="K44" s="291" t="e">
        <f t="shared" si="6"/>
        <v>#N/A</v>
      </c>
      <c r="L44" t="e">
        <f t="shared" si="7"/>
        <v>#N/A</v>
      </c>
    </row>
    <row r="45" spans="1:2" ht="12.75">
      <c r="A45" s="232"/>
      <c r="B45" s="601">
        <f t="shared" si="0"/>
      </c>
    </row>
    <row r="46" spans="1:16" ht="12.75">
      <c r="A46" s="547"/>
      <c r="B46" s="601">
        <f t="shared" si="0"/>
      </c>
      <c r="C46" t="s">
        <v>444</v>
      </c>
      <c r="D46">
        <v>12</v>
      </c>
      <c r="E46">
        <v>16</v>
      </c>
      <c r="F46">
        <v>18</v>
      </c>
      <c r="G46">
        <v>96</v>
      </c>
      <c r="H46">
        <v>10.67</v>
      </c>
      <c r="I46">
        <v>0.6</v>
      </c>
      <c r="J46" s="382" t="e">
        <f>IF(AND($P$46&lt;10,$H$3*I46&lt;195),ROUNDUP(195/H46,0),ROUNDUP($H$3*I46/H46,0))</f>
        <v>#N/A</v>
      </c>
      <c r="K46" s="291" t="e">
        <f>ROUNDUP((J46*G46/12),0)</f>
        <v>#N/A</v>
      </c>
      <c r="L46" t="e">
        <f>ROUNDUP($H$3/(E46/12),0)</f>
        <v>#N/A</v>
      </c>
      <c r="M46" t="s">
        <v>662</v>
      </c>
      <c r="P46">
        <f>AppData!C6</f>
        <v>0</v>
      </c>
    </row>
    <row r="47" spans="1:13" ht="12.75">
      <c r="A47" s="547"/>
      <c r="B47" s="601">
        <f t="shared" si="0"/>
      </c>
      <c r="C47" t="s">
        <v>447</v>
      </c>
      <c r="D47">
        <v>12.4</v>
      </c>
      <c r="E47">
        <v>30</v>
      </c>
      <c r="F47">
        <v>26.5</v>
      </c>
      <c r="G47">
        <v>75</v>
      </c>
      <c r="H47">
        <v>15.63</v>
      </c>
      <c r="I47">
        <v>0.6</v>
      </c>
      <c r="J47" s="382" t="e">
        <f>IF(AND($P$46&lt;10,$H$3*I47&lt;195),ROUNDUP(195/H47,0),ROUNDUP($H$3*I47/H47,0))</f>
        <v>#N/A</v>
      </c>
      <c r="K47" s="291" t="e">
        <f>ROUNDUP((J47*G47/12),0)</f>
        <v>#N/A</v>
      </c>
      <c r="L47" t="e">
        <f>ROUNDUP($H$3/(E47/12),0)</f>
        <v>#N/A</v>
      </c>
      <c r="M47" t="s">
        <v>662</v>
      </c>
    </row>
    <row r="48" spans="1:13" ht="12.75">
      <c r="A48" s="547"/>
      <c r="B48" s="601">
        <f t="shared" si="0"/>
      </c>
      <c r="C48" t="s">
        <v>463</v>
      </c>
      <c r="D48">
        <v>12.5</v>
      </c>
      <c r="E48">
        <v>36</v>
      </c>
      <c r="F48">
        <v>36</v>
      </c>
      <c r="G48">
        <v>90</v>
      </c>
      <c r="H48">
        <v>19.5</v>
      </c>
      <c r="I48">
        <v>0.6</v>
      </c>
      <c r="J48" s="382" t="e">
        <f>IF(AND($P$46&lt;10,$H$3*I48&lt;195),ROUNDUP(195/H48,0),ROUNDUP($H$3*I48/H48,0))</f>
        <v>#N/A</v>
      </c>
      <c r="K48" s="291" t="e">
        <f>ROUNDUP((J48*G48/12),0)</f>
        <v>#N/A</v>
      </c>
      <c r="L48" t="e">
        <f>ROUNDUP($H$3/(E48/12),0)</f>
        <v>#N/A</v>
      </c>
      <c r="M48" t="s">
        <v>662</v>
      </c>
    </row>
    <row r="49" spans="1:13" ht="12.75">
      <c r="A49" s="547"/>
      <c r="B49" s="601">
        <f t="shared" si="0"/>
      </c>
      <c r="C49" t="s">
        <v>445</v>
      </c>
      <c r="D49">
        <v>18</v>
      </c>
      <c r="E49">
        <v>30</v>
      </c>
      <c r="F49">
        <v>28</v>
      </c>
      <c r="G49">
        <v>75</v>
      </c>
      <c r="H49">
        <v>15.63</v>
      </c>
      <c r="I49">
        <v>0.55</v>
      </c>
      <c r="J49" s="382" t="e">
        <f>IF(AND($P$46&lt;10,$H$3*I49&lt;195),ROUNDUP(195/H49,0),ROUNDUP($H$3*I49/H49,0))</f>
        <v>#N/A</v>
      </c>
      <c r="K49" s="291" t="e">
        <f>ROUNDUP((J49*G49/12),0)</f>
        <v>#N/A</v>
      </c>
      <c r="L49" t="e">
        <f>ROUNDUP($H$3/(E49/12),0)</f>
        <v>#N/A</v>
      </c>
      <c r="M49" t="s">
        <v>662</v>
      </c>
    </row>
    <row r="50" spans="1:13" ht="12.75">
      <c r="A50" s="547"/>
      <c r="B50" s="601">
        <f t="shared" si="0"/>
      </c>
      <c r="C50" t="s">
        <v>446</v>
      </c>
      <c r="D50">
        <v>20.5</v>
      </c>
      <c r="E50">
        <v>36</v>
      </c>
      <c r="F50">
        <v>36</v>
      </c>
      <c r="G50">
        <v>78</v>
      </c>
      <c r="H50">
        <v>19</v>
      </c>
      <c r="I50">
        <v>0.6</v>
      </c>
      <c r="J50" s="382" t="e">
        <f>IF(AND($P$46&lt;10,$H$3*I50&lt;195),ROUNDUP(195/H50,0),ROUNDUP($H$3*I50/H50,0))</f>
        <v>#N/A</v>
      </c>
      <c r="K50" s="291" t="e">
        <f>ROUNDUP((J50*G50/12),0)</f>
        <v>#N/A</v>
      </c>
      <c r="L50" t="e">
        <f>ROUNDUP($H$3/(E50/12),0)</f>
        <v>#N/A</v>
      </c>
      <c r="M50" t="s">
        <v>662</v>
      </c>
    </row>
    <row r="51" spans="1:2" ht="12.75">
      <c r="A51" s="232"/>
      <c r="B51" s="601">
        <f t="shared" si="0"/>
      </c>
    </row>
    <row r="52" spans="1:12" ht="12.75">
      <c r="A52" s="547"/>
      <c r="B52" s="601">
        <f t="shared" si="0"/>
      </c>
      <c r="C52" t="s">
        <v>523</v>
      </c>
      <c r="D52">
        <v>12</v>
      </c>
      <c r="E52">
        <v>18</v>
      </c>
      <c r="G52">
        <v>86</v>
      </c>
      <c r="H52">
        <v>10.75</v>
      </c>
      <c r="I52">
        <v>0.6</v>
      </c>
      <c r="J52" s="382" t="e">
        <f>ROUNDUP($H$3*I52/H52,0)</f>
        <v>#N/A</v>
      </c>
      <c r="K52" s="291" t="e">
        <f>ROUNDUP((J52*G52/12),0)</f>
        <v>#N/A</v>
      </c>
      <c r="L52" t="e">
        <f>ROUNDUP($H$3/(E52/12),0)</f>
        <v>#N/A</v>
      </c>
    </row>
    <row r="53" spans="1:12" ht="12.75">
      <c r="A53" s="547"/>
      <c r="B53" s="601">
        <f t="shared" si="0"/>
      </c>
      <c r="C53" t="s">
        <v>524</v>
      </c>
      <c r="D53">
        <v>12</v>
      </c>
      <c r="E53">
        <v>24</v>
      </c>
      <c r="G53">
        <v>86</v>
      </c>
      <c r="H53">
        <v>14.33</v>
      </c>
      <c r="I53">
        <v>0.55</v>
      </c>
      <c r="J53" s="382" t="e">
        <f>ROUNDUP($H$3*I53/H53,0)</f>
        <v>#N/A</v>
      </c>
      <c r="K53" s="291" t="e">
        <f>ROUNDUP((J53*G53/12),0)</f>
        <v>#N/A</v>
      </c>
      <c r="L53" t="e">
        <f>ROUNDUP($H$3/(E53/12),0)</f>
        <v>#N/A</v>
      </c>
    </row>
    <row r="54" spans="1:12" ht="12.75">
      <c r="A54" s="547"/>
      <c r="B54" s="601">
        <f t="shared" si="0"/>
      </c>
      <c r="C54" t="s">
        <v>520</v>
      </c>
      <c r="D54">
        <v>11</v>
      </c>
      <c r="E54">
        <v>36</v>
      </c>
      <c r="G54">
        <v>75</v>
      </c>
      <c r="H54">
        <v>18.75</v>
      </c>
      <c r="I54">
        <v>0.6</v>
      </c>
      <c r="J54" s="382" t="e">
        <f>ROUNDUP($H$3*I54/H54,0)</f>
        <v>#N/A</v>
      </c>
      <c r="K54" s="291" t="e">
        <f>ROUNDUP((J54*G54/12),0)</f>
        <v>#N/A</v>
      </c>
      <c r="L54" t="e">
        <f>ROUNDUP($H$3/(E54/12),0)</f>
        <v>#N/A</v>
      </c>
    </row>
    <row r="55" spans="1:12" ht="12.75">
      <c r="A55" s="547"/>
      <c r="B55" s="601"/>
      <c r="C55" t="s">
        <v>521</v>
      </c>
      <c r="D55">
        <v>16</v>
      </c>
      <c r="E55">
        <v>36</v>
      </c>
      <c r="F55">
        <v>34</v>
      </c>
      <c r="G55">
        <v>75</v>
      </c>
      <c r="H55">
        <v>18.75</v>
      </c>
      <c r="I55">
        <v>0.6</v>
      </c>
      <c r="J55" s="382" t="e">
        <f>ROUNDUP($H$3*I55/H55,0)</f>
        <v>#N/A</v>
      </c>
      <c r="K55" s="291" t="e">
        <f>ROUNDUP((J55*G55/12),0)</f>
        <v>#N/A</v>
      </c>
      <c r="L55" t="e">
        <f>ROUNDUP($H$3/(E55/12),0)</f>
        <v>#N/A</v>
      </c>
    </row>
    <row r="56" spans="1:12" ht="12.75">
      <c r="A56" s="547"/>
      <c r="B56" s="601"/>
      <c r="C56" t="s">
        <v>522</v>
      </c>
      <c r="D56">
        <v>12</v>
      </c>
      <c r="E56">
        <v>36</v>
      </c>
      <c r="G56">
        <v>60</v>
      </c>
      <c r="H56">
        <v>15</v>
      </c>
      <c r="I56">
        <v>0.6</v>
      </c>
      <c r="J56" s="382" t="e">
        <f>ROUNDUP($H$3*I56/H56,0)</f>
        <v>#N/A</v>
      </c>
      <c r="K56" s="291" t="e">
        <f>ROUNDUP((J56*G56/12),0)</f>
        <v>#N/A</v>
      </c>
      <c r="L56" t="e">
        <f>ROUNDUP($H$3/(E56/12),0)</f>
        <v>#N/A</v>
      </c>
    </row>
    <row r="57" spans="1:2" ht="12.75">
      <c r="A57" s="232"/>
      <c r="B57" s="601">
        <f t="shared" si="0"/>
      </c>
    </row>
    <row r="58" spans="1:12" ht="12.75">
      <c r="A58" s="547"/>
      <c r="B58" s="601">
        <f t="shared" si="0"/>
      </c>
      <c r="C58" t="s">
        <v>448</v>
      </c>
      <c r="D58">
        <v>12</v>
      </c>
      <c r="E58">
        <v>36</v>
      </c>
      <c r="F58">
        <v>34</v>
      </c>
      <c r="G58">
        <v>75</v>
      </c>
      <c r="H58">
        <v>18.75</v>
      </c>
      <c r="I58">
        <v>0.6</v>
      </c>
      <c r="J58" s="382" t="e">
        <f aca="true" t="shared" si="8" ref="J58:J64">ROUNDUP($H$3*I58/H58,0)</f>
        <v>#N/A</v>
      </c>
      <c r="K58" s="291" t="e">
        <f>ROUNDUP((J58*G58/12),0)</f>
        <v>#N/A</v>
      </c>
      <c r="L58" t="e">
        <f aca="true" t="shared" si="9" ref="L58:L64">ROUNDUP($H$3/(E58/12),0)</f>
        <v>#N/A</v>
      </c>
    </row>
    <row r="59" spans="1:12" ht="12.75">
      <c r="A59" s="547"/>
      <c r="B59" s="601">
        <f t="shared" si="0"/>
      </c>
      <c r="C59" t="s">
        <v>451</v>
      </c>
      <c r="D59">
        <v>12</v>
      </c>
      <c r="E59">
        <v>36</v>
      </c>
      <c r="F59">
        <v>34</v>
      </c>
      <c r="G59">
        <v>75</v>
      </c>
      <c r="H59">
        <v>18.75</v>
      </c>
      <c r="I59">
        <v>0.6</v>
      </c>
      <c r="J59" s="382" t="e">
        <f t="shared" si="8"/>
        <v>#N/A</v>
      </c>
      <c r="K59" s="291" t="e">
        <f aca="true" t="shared" si="10" ref="K59:K64">ROUNDUP((J59*G59/12),0)</f>
        <v>#N/A</v>
      </c>
      <c r="L59" t="e">
        <f t="shared" si="9"/>
        <v>#N/A</v>
      </c>
    </row>
    <row r="60" spans="1:12" ht="12.75">
      <c r="A60" s="547"/>
      <c r="B60" s="601">
        <f t="shared" si="0"/>
      </c>
      <c r="C60" t="s">
        <v>450</v>
      </c>
      <c r="D60">
        <v>16</v>
      </c>
      <c r="E60">
        <v>36</v>
      </c>
      <c r="F60">
        <v>34</v>
      </c>
      <c r="G60">
        <v>75</v>
      </c>
      <c r="H60">
        <v>18.75</v>
      </c>
      <c r="I60">
        <v>0.6</v>
      </c>
      <c r="J60" s="382" t="e">
        <f t="shared" si="8"/>
        <v>#N/A</v>
      </c>
      <c r="K60" s="291" t="e">
        <f t="shared" si="10"/>
        <v>#N/A</v>
      </c>
      <c r="L60" t="e">
        <f t="shared" si="9"/>
        <v>#N/A</v>
      </c>
    </row>
    <row r="61" spans="1:12" ht="12.75">
      <c r="A61" s="547"/>
      <c r="B61" s="601">
        <f t="shared" si="0"/>
      </c>
      <c r="C61" t="s">
        <v>525</v>
      </c>
      <c r="D61">
        <v>16</v>
      </c>
      <c r="E61">
        <v>36</v>
      </c>
      <c r="F61">
        <v>34</v>
      </c>
      <c r="G61">
        <v>75</v>
      </c>
      <c r="H61">
        <v>18.75</v>
      </c>
      <c r="I61">
        <v>0.6</v>
      </c>
      <c r="J61" s="382" t="e">
        <f t="shared" si="8"/>
        <v>#N/A</v>
      </c>
      <c r="K61" s="291" t="e">
        <f t="shared" si="10"/>
        <v>#N/A</v>
      </c>
      <c r="L61" t="e">
        <f t="shared" si="9"/>
        <v>#N/A</v>
      </c>
    </row>
    <row r="62" spans="1:12" ht="12.75">
      <c r="A62" s="547"/>
      <c r="B62" s="601">
        <f t="shared" si="0"/>
      </c>
      <c r="C62" t="s">
        <v>526</v>
      </c>
      <c r="D62">
        <v>13.5</v>
      </c>
      <c r="E62">
        <v>24</v>
      </c>
      <c r="F62">
        <v>22</v>
      </c>
      <c r="G62">
        <v>100</v>
      </c>
      <c r="H62">
        <v>16.67</v>
      </c>
      <c r="I62">
        <v>0.55</v>
      </c>
      <c r="J62" s="382" t="e">
        <f t="shared" si="8"/>
        <v>#N/A</v>
      </c>
      <c r="K62" s="291" t="e">
        <f t="shared" si="10"/>
        <v>#N/A</v>
      </c>
      <c r="L62" t="e">
        <f t="shared" si="9"/>
        <v>#N/A</v>
      </c>
    </row>
    <row r="63" spans="1:12" ht="12.75">
      <c r="A63" s="547"/>
      <c r="B63" s="601">
        <f t="shared" si="0"/>
      </c>
      <c r="C63" t="s">
        <v>527</v>
      </c>
      <c r="D63">
        <v>12</v>
      </c>
      <c r="E63">
        <v>36</v>
      </c>
      <c r="F63">
        <v>34</v>
      </c>
      <c r="G63">
        <v>48</v>
      </c>
      <c r="H63">
        <v>12</v>
      </c>
      <c r="I63">
        <v>0.6</v>
      </c>
      <c r="J63" s="382" t="e">
        <f t="shared" si="8"/>
        <v>#N/A</v>
      </c>
      <c r="K63" s="291" t="e">
        <f t="shared" si="10"/>
        <v>#N/A</v>
      </c>
      <c r="L63" t="e">
        <f t="shared" si="9"/>
        <v>#N/A</v>
      </c>
    </row>
    <row r="64" spans="1:12" ht="12.75">
      <c r="A64" s="547"/>
      <c r="B64" s="601">
        <f t="shared" si="0"/>
      </c>
      <c r="C64" t="s">
        <v>449</v>
      </c>
      <c r="D64">
        <v>12</v>
      </c>
      <c r="E64">
        <v>24</v>
      </c>
      <c r="F64">
        <v>22</v>
      </c>
      <c r="G64">
        <v>48</v>
      </c>
      <c r="H64">
        <v>8</v>
      </c>
      <c r="I64">
        <v>0.6</v>
      </c>
      <c r="J64" s="382" t="e">
        <f t="shared" si="8"/>
        <v>#N/A</v>
      </c>
      <c r="K64" s="291" t="e">
        <f t="shared" si="10"/>
        <v>#N/A</v>
      </c>
      <c r="L64" t="e">
        <f t="shared" si="9"/>
        <v>#N/A</v>
      </c>
    </row>
    <row r="65" spans="1:12" ht="12.75">
      <c r="A65" s="547"/>
      <c r="B65" s="601">
        <f aca="true" t="shared" si="11" ref="B65:B70">IF(A65="x",1,"")</f>
      </c>
      <c r="C65" t="s">
        <v>802</v>
      </c>
      <c r="D65">
        <v>11</v>
      </c>
      <c r="E65">
        <v>18</v>
      </c>
      <c r="F65">
        <v>16</v>
      </c>
      <c r="G65">
        <v>48</v>
      </c>
      <c r="H65">
        <v>6</v>
      </c>
      <c r="I65">
        <v>0.6</v>
      </c>
      <c r="J65" s="382" t="e">
        <f aca="true" t="shared" si="12" ref="J65:J70">ROUNDUP($H$3*I65/H65,0)</f>
        <v>#N/A</v>
      </c>
      <c r="K65" s="291" t="e">
        <f aca="true" t="shared" si="13" ref="K65:K70">ROUNDUP((J65*G65/12),0)</f>
        <v>#N/A</v>
      </c>
      <c r="L65" t="e">
        <f aca="true" t="shared" si="14" ref="L65:L70">ROUNDUP($H$3/(E65/12),0)</f>
        <v>#N/A</v>
      </c>
    </row>
    <row r="66" spans="1:12" ht="12.75">
      <c r="A66" s="547"/>
      <c r="B66" s="601">
        <f t="shared" si="11"/>
      </c>
      <c r="C66" t="s">
        <v>803</v>
      </c>
      <c r="D66">
        <v>11</v>
      </c>
      <c r="E66">
        <v>36</v>
      </c>
      <c r="F66">
        <v>32</v>
      </c>
      <c r="G66">
        <v>48</v>
      </c>
      <c r="H66">
        <v>6</v>
      </c>
      <c r="I66">
        <v>0.6</v>
      </c>
      <c r="J66" s="382" t="e">
        <f t="shared" si="12"/>
        <v>#N/A</v>
      </c>
      <c r="K66" s="291" t="e">
        <f t="shared" si="13"/>
        <v>#N/A</v>
      </c>
      <c r="L66" t="e">
        <f t="shared" si="14"/>
        <v>#N/A</v>
      </c>
    </row>
    <row r="67" spans="1:12" ht="12.75">
      <c r="A67" s="547"/>
      <c r="B67" s="601">
        <f t="shared" si="11"/>
      </c>
      <c r="C67" t="s">
        <v>804</v>
      </c>
      <c r="D67">
        <v>8</v>
      </c>
      <c r="E67">
        <v>18</v>
      </c>
      <c r="F67">
        <v>16</v>
      </c>
      <c r="G67">
        <v>48</v>
      </c>
      <c r="H67">
        <v>6</v>
      </c>
      <c r="I67">
        <v>0.6</v>
      </c>
      <c r="J67" s="382" t="e">
        <f t="shared" si="12"/>
        <v>#N/A</v>
      </c>
      <c r="K67" s="291" t="e">
        <f t="shared" si="13"/>
        <v>#N/A</v>
      </c>
      <c r="L67" t="e">
        <f t="shared" si="14"/>
        <v>#N/A</v>
      </c>
    </row>
    <row r="68" spans="1:12" ht="12.75">
      <c r="A68" s="547"/>
      <c r="B68" s="601">
        <f t="shared" si="11"/>
      </c>
      <c r="C68" t="s">
        <v>805</v>
      </c>
      <c r="D68">
        <v>8</v>
      </c>
      <c r="E68">
        <v>36</v>
      </c>
      <c r="F68">
        <v>32</v>
      </c>
      <c r="G68">
        <v>48</v>
      </c>
      <c r="H68">
        <v>6</v>
      </c>
      <c r="I68">
        <v>0.6</v>
      </c>
      <c r="J68" s="382" t="e">
        <f t="shared" si="12"/>
        <v>#N/A</v>
      </c>
      <c r="K68" s="291" t="e">
        <f t="shared" si="13"/>
        <v>#N/A</v>
      </c>
      <c r="L68" t="e">
        <f t="shared" si="14"/>
        <v>#N/A</v>
      </c>
    </row>
    <row r="69" spans="1:12" ht="12.75">
      <c r="A69" s="547"/>
      <c r="B69" s="601">
        <f t="shared" si="11"/>
      </c>
      <c r="C69" t="s">
        <v>806</v>
      </c>
      <c r="D69">
        <v>12</v>
      </c>
      <c r="E69">
        <v>36</v>
      </c>
      <c r="F69">
        <v>34</v>
      </c>
      <c r="G69">
        <v>48</v>
      </c>
      <c r="H69">
        <v>12</v>
      </c>
      <c r="I69">
        <v>0.6</v>
      </c>
      <c r="J69" s="382" t="e">
        <f t="shared" si="12"/>
        <v>#N/A</v>
      </c>
      <c r="K69" s="291" t="e">
        <f t="shared" si="13"/>
        <v>#N/A</v>
      </c>
      <c r="L69" t="e">
        <f t="shared" si="14"/>
        <v>#N/A</v>
      </c>
    </row>
    <row r="70" spans="1:12" ht="12.75">
      <c r="A70" s="547"/>
      <c r="B70" s="601">
        <f t="shared" si="11"/>
      </c>
      <c r="C70" t="s">
        <v>807</v>
      </c>
      <c r="D70">
        <v>8</v>
      </c>
      <c r="E70">
        <v>36</v>
      </c>
      <c r="F70">
        <v>34</v>
      </c>
      <c r="G70">
        <v>48</v>
      </c>
      <c r="H70">
        <v>12</v>
      </c>
      <c r="I70">
        <v>0.6</v>
      </c>
      <c r="J70" s="382" t="e">
        <f t="shared" si="12"/>
        <v>#N/A</v>
      </c>
      <c r="K70" s="291" t="e">
        <f t="shared" si="13"/>
        <v>#N/A</v>
      </c>
      <c r="L70" t="e">
        <f t="shared" si="14"/>
        <v>#N/A</v>
      </c>
    </row>
    <row r="71" ht="12.75">
      <c r="B71" s="601">
        <f t="shared" si="0"/>
      </c>
    </row>
    <row r="72" ht="12.75">
      <c r="B72" s="601">
        <f t="shared" si="0"/>
      </c>
    </row>
    <row r="73" ht="12.75">
      <c r="B73" s="601">
        <f aca="true" t="shared" si="15" ref="B73:B80">IF(A73="x",1,"")</f>
      </c>
    </row>
    <row r="74" ht="12.75">
      <c r="B74" s="601">
        <f t="shared" si="15"/>
      </c>
    </row>
    <row r="75" ht="12.75">
      <c r="B75" s="601">
        <f t="shared" si="15"/>
      </c>
    </row>
    <row r="76" ht="12.75">
      <c r="B76" s="601">
        <f t="shared" si="15"/>
      </c>
    </row>
    <row r="77" ht="12.75">
      <c r="B77" s="601">
        <f t="shared" si="15"/>
      </c>
    </row>
    <row r="78" ht="12.75">
      <c r="B78" s="601">
        <f t="shared" si="15"/>
      </c>
    </row>
    <row r="79" ht="12.75">
      <c r="B79" s="601">
        <f t="shared" si="15"/>
      </c>
    </row>
    <row r="80" ht="12.75">
      <c r="B80" s="601">
        <f t="shared" si="15"/>
      </c>
    </row>
    <row r="81" spans="1:11" ht="12.75">
      <c r="A81" s="383"/>
      <c r="B81" s="551"/>
      <c r="C81" s="384" t="s">
        <v>528</v>
      </c>
      <c r="D81" s="385"/>
      <c r="E81" s="385"/>
      <c r="F81" s="385"/>
      <c r="G81" s="385"/>
      <c r="H81" s="385"/>
      <c r="I81" s="385"/>
      <c r="J81" s="385"/>
      <c r="K81" s="386"/>
    </row>
    <row r="82" ht="12.75">
      <c r="B82" s="549">
        <f>COUNT(B7:B80)</f>
        <v>0</v>
      </c>
    </row>
  </sheetData>
  <sheetProtection password="CFD7" sheet="1" selectLockedCell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1"/>
  <sheetViews>
    <sheetView zoomScalePageLayoutView="0" workbookViewId="0" topLeftCell="A61">
      <pane ySplit="10200" topLeftCell="A209" activePane="topLeft" state="split"/>
      <selection pane="topLeft" activeCell="B87" sqref="B87"/>
      <selection pane="bottomLeft" activeCell="A209" sqref="A209"/>
    </sheetView>
  </sheetViews>
  <sheetFormatPr defaultColWidth="9.140625" defaultRowHeight="12.75"/>
  <cols>
    <col min="2" max="2" width="35.28125" style="0" customWidth="1"/>
    <col min="3" max="3" width="6.7109375" style="0" customWidth="1"/>
    <col min="4" max="4" width="6.28125" style="0" customWidth="1"/>
    <col min="5" max="5" width="34.7109375" style="0" customWidth="1"/>
    <col min="6" max="6" width="11.7109375" style="0" customWidth="1"/>
    <col min="7" max="7" width="9.7109375" style="0" customWidth="1"/>
    <col min="8" max="8" width="11.7109375" style="0" customWidth="1"/>
    <col min="9" max="9" width="7.7109375" style="0" customWidth="1"/>
    <col min="10" max="10" width="4.7109375" style="0" customWidth="1"/>
    <col min="12" max="12" width="11.7109375" style="0" customWidth="1"/>
    <col min="15" max="15" width="9.7109375" style="0" customWidth="1"/>
    <col min="21" max="21" width="36.7109375" style="0" customWidth="1"/>
    <col min="22" max="22" width="8.28125" style="0" customWidth="1"/>
    <col min="23" max="23" width="8.8515625" style="0" customWidth="1"/>
    <col min="32" max="32" width="6.8515625" style="0" customWidth="1"/>
  </cols>
  <sheetData>
    <row r="1" spans="1:21" ht="18.75" customHeight="1">
      <c r="A1" s="207" t="s">
        <v>108</v>
      </c>
      <c r="B1" s="209"/>
      <c r="C1" s="209"/>
      <c r="D1" s="209"/>
      <c r="E1" s="209"/>
      <c r="F1" s="210" t="s">
        <v>669</v>
      </c>
      <c r="G1" s="211"/>
      <c r="H1" s="211"/>
      <c r="I1" s="211"/>
      <c r="J1" s="211"/>
      <c r="K1" s="211"/>
      <c r="L1" s="209"/>
      <c r="M1" s="209"/>
      <c r="N1" s="209"/>
      <c r="O1" s="209"/>
      <c r="P1" s="209"/>
      <c r="Q1" s="209"/>
      <c r="R1" s="209"/>
      <c r="U1" t="s">
        <v>670</v>
      </c>
    </row>
    <row r="2" spans="1:17" ht="12.75" customHeight="1">
      <c r="A2" s="101" t="s">
        <v>259</v>
      </c>
      <c r="B2" s="4"/>
      <c r="C2" s="10"/>
      <c r="D2" s="10"/>
      <c r="E2" s="10"/>
      <c r="F2" s="219"/>
      <c r="G2" s="143"/>
      <c r="H2" s="143"/>
      <c r="I2" s="143"/>
      <c r="J2" s="209"/>
      <c r="K2" s="209"/>
      <c r="L2" s="209"/>
      <c r="M2" s="209"/>
      <c r="N2" s="209"/>
      <c r="O2" s="209"/>
      <c r="P2" s="209"/>
      <c r="Q2" s="209"/>
    </row>
    <row r="3" spans="1:23" ht="15.75" customHeight="1">
      <c r="A3" s="1" t="s">
        <v>11</v>
      </c>
      <c r="J3" s="209"/>
      <c r="K3" s="209"/>
      <c r="L3" s="209"/>
      <c r="M3" s="209"/>
      <c r="N3" s="209"/>
      <c r="O3" s="209"/>
      <c r="P3" s="209"/>
      <c r="Q3" s="209"/>
      <c r="U3" t="s">
        <v>12</v>
      </c>
      <c r="V3">
        <f>C4</f>
        <v>3</v>
      </c>
      <c r="W3" t="s">
        <v>671</v>
      </c>
    </row>
    <row r="4" spans="1:23" ht="12.75" customHeight="1">
      <c r="A4" t="s">
        <v>21</v>
      </c>
      <c r="B4" t="s">
        <v>12</v>
      </c>
      <c r="C4" s="84">
        <v>3</v>
      </c>
      <c r="E4" t="s">
        <v>13</v>
      </c>
      <c r="F4" s="227"/>
      <c r="G4" s="67"/>
      <c r="H4" s="67"/>
      <c r="I4" s="102"/>
      <c r="J4" s="209"/>
      <c r="K4" s="209"/>
      <c r="L4" s="209"/>
      <c r="M4" s="209"/>
      <c r="N4" s="209"/>
      <c r="O4" s="209"/>
      <c r="P4" s="209"/>
      <c r="Q4" s="209"/>
      <c r="U4" t="s">
        <v>114</v>
      </c>
      <c r="V4">
        <f>C5</f>
        <v>450</v>
      </c>
      <c r="W4" t="s">
        <v>113</v>
      </c>
    </row>
    <row r="5" spans="1:22" ht="12.75" customHeight="1">
      <c r="A5" t="s">
        <v>22</v>
      </c>
      <c r="B5" t="s">
        <v>114</v>
      </c>
      <c r="C5" s="228">
        <f>C4*150</f>
        <v>450</v>
      </c>
      <c r="D5" t="s">
        <v>113</v>
      </c>
      <c r="E5" t="s">
        <v>165</v>
      </c>
      <c r="F5" s="10"/>
      <c r="G5" s="10"/>
      <c r="H5" s="10"/>
      <c r="I5" s="10"/>
      <c r="J5" s="212"/>
      <c r="K5" s="209"/>
      <c r="L5" s="209"/>
      <c r="M5" s="209"/>
      <c r="N5" s="209"/>
      <c r="O5" s="209"/>
      <c r="P5" s="209"/>
      <c r="Q5" s="209"/>
      <c r="U5" s="399" t="s">
        <v>672</v>
      </c>
      <c r="V5" s="24" t="str">
        <f>IF(C6="A","ASHES",IF(C6="HR","HARD ROCK",IF(C6="O","OTHER","")))</f>
        <v>OTHER</v>
      </c>
    </row>
    <row r="6" spans="1:21" ht="12.75" customHeight="1">
      <c r="A6" t="s">
        <v>23</v>
      </c>
      <c r="B6" s="2" t="s">
        <v>672</v>
      </c>
      <c r="C6" s="602" t="s">
        <v>52</v>
      </c>
      <c r="E6" s="65" t="s">
        <v>673</v>
      </c>
      <c r="F6" s="10"/>
      <c r="G6" s="10">
        <f>IF(OR(C6="A",C6="HR",C6="O"),"","RESTRICTION TYPE 'A', 'HR', or O REQUIRED")</f>
      </c>
      <c r="H6" s="10"/>
      <c r="I6" s="10"/>
      <c r="J6" s="212"/>
      <c r="K6" s="209"/>
      <c r="L6" s="209"/>
      <c r="M6" s="209"/>
      <c r="N6" s="209"/>
      <c r="O6" s="209"/>
      <c r="P6" s="209"/>
      <c r="Q6" s="209"/>
      <c r="U6" s="2"/>
    </row>
    <row r="7" spans="1:21" ht="12.75">
      <c r="A7" t="s">
        <v>674</v>
      </c>
      <c r="B7" s="2" t="s">
        <v>675</v>
      </c>
      <c r="C7" s="185">
        <v>-12</v>
      </c>
      <c r="D7" t="s">
        <v>14</v>
      </c>
      <c r="E7" t="s">
        <v>15</v>
      </c>
      <c r="F7" s="67"/>
      <c r="G7" s="10"/>
      <c r="H7" s="10"/>
      <c r="I7" s="10"/>
      <c r="J7" s="212"/>
      <c r="K7" s="213"/>
      <c r="L7" s="209"/>
      <c r="M7" s="209"/>
      <c r="N7" s="209"/>
      <c r="O7" s="209"/>
      <c r="P7" s="209"/>
      <c r="Q7" s="209"/>
      <c r="U7" s="5"/>
    </row>
    <row r="8" spans="2:23" ht="15.75" customHeight="1">
      <c r="B8" s="5" t="s">
        <v>676</v>
      </c>
      <c r="C8" s="6"/>
      <c r="F8" s="525">
        <f>IF(C9&gt;240,"PRETREATMENT REQUIRED Perc &gt;240",IF(AND(C6="A",C7&gt;-6),"PRETREATMENT REQUIRED Ashes &lt; 6 in.",IF(AND(C6="HR",C7&gt;-12),"PRETREATMENT REQUIRED Rock &lt; 12 in.","")))</f>
      </c>
      <c r="G8" s="10"/>
      <c r="H8" s="10"/>
      <c r="I8" s="10"/>
      <c r="J8" s="212"/>
      <c r="K8" s="212"/>
      <c r="L8" s="209"/>
      <c r="M8" s="209"/>
      <c r="N8" s="209"/>
      <c r="O8" s="209"/>
      <c r="P8" s="209"/>
      <c r="Q8" s="209"/>
      <c r="U8" s="7" t="s">
        <v>16</v>
      </c>
      <c r="V8">
        <f>C9</f>
        <v>0</v>
      </c>
      <c r="W8" t="s">
        <v>17</v>
      </c>
    </row>
    <row r="9" spans="1:23" ht="12.75">
      <c r="A9" t="s">
        <v>24</v>
      </c>
      <c r="B9" s="7" t="s">
        <v>16</v>
      </c>
      <c r="C9" s="85"/>
      <c r="D9" t="s">
        <v>17</v>
      </c>
      <c r="E9" s="65" t="s">
        <v>381</v>
      </c>
      <c r="F9" s="67"/>
      <c r="G9" s="51"/>
      <c r="H9" s="51"/>
      <c r="I9" s="51"/>
      <c r="J9" s="214"/>
      <c r="K9" s="214"/>
      <c r="L9" s="209"/>
      <c r="M9" s="209"/>
      <c r="N9" s="209"/>
      <c r="O9" s="209"/>
      <c r="P9" s="209"/>
      <c r="Q9" s="209"/>
      <c r="U9" s="7" t="s">
        <v>112</v>
      </c>
      <c r="V9">
        <f>C10</f>
        <v>0</v>
      </c>
      <c r="W9" t="s">
        <v>14</v>
      </c>
    </row>
    <row r="10" spans="1:22" ht="12.75">
      <c r="A10" t="s">
        <v>25</v>
      </c>
      <c r="B10" s="7" t="s">
        <v>112</v>
      </c>
      <c r="C10" s="85"/>
      <c r="D10" t="s">
        <v>14</v>
      </c>
      <c r="E10" s="65"/>
      <c r="F10" s="189" t="s">
        <v>677</v>
      </c>
      <c r="G10" s="188"/>
      <c r="H10" s="188"/>
      <c r="I10" s="51"/>
      <c r="J10" s="214"/>
      <c r="K10" s="214"/>
      <c r="L10" s="209"/>
      <c r="M10" s="209"/>
      <c r="N10" s="209"/>
      <c r="O10" s="209"/>
      <c r="P10" s="209"/>
      <c r="Q10" s="209"/>
      <c r="U10" s="10" t="s">
        <v>678</v>
      </c>
      <c r="V10" s="33">
        <f aca="true" t="shared" si="0" ref="V10:V20">C11</f>
        <v>0</v>
      </c>
    </row>
    <row r="11" spans="1:22" ht="12.75">
      <c r="A11" t="s">
        <v>111</v>
      </c>
      <c r="B11" s="11" t="s">
        <v>678</v>
      </c>
      <c r="C11" s="85"/>
      <c r="E11" s="12" t="str">
        <f>IF(C11="N","Plot plan - Mark: Y or N","See Sheet 6")</f>
        <v>See Sheet 6</v>
      </c>
      <c r="F11" s="525">
        <f>IF(AND(C9&gt;240,C11="N"),"MARK C11 'Y' PRETREATMENT REQUIRED Perc &gt;240",IF(AND(C6="A",C7&gt;-6,C11="N"),"MARK C11 'Y' PRETREATMENT REQUIRED Ashes &lt; 6 in.",IF(AND(C6="HR",C7&gt;-12,C11="N"),"MARK C11 'Y' PRETREATMENT REQUIRED Rock &lt; 12 in.","")))</f>
      </c>
      <c r="G11" s="188"/>
      <c r="H11" s="188"/>
      <c r="I11" s="51"/>
      <c r="J11" s="214"/>
      <c r="K11" s="214"/>
      <c r="L11" s="209"/>
      <c r="M11" s="209"/>
      <c r="N11" s="209"/>
      <c r="O11" s="209"/>
      <c r="P11" s="209"/>
      <c r="Q11" s="209"/>
      <c r="U11" s="10" t="s">
        <v>679</v>
      </c>
      <c r="V11" s="33">
        <f t="shared" si="0"/>
        <v>0</v>
      </c>
    </row>
    <row r="12" spans="1:23" ht="12.75">
      <c r="A12" t="s">
        <v>115</v>
      </c>
      <c r="B12" s="11" t="s">
        <v>679</v>
      </c>
      <c r="C12" s="85"/>
      <c r="E12" s="13" t="s">
        <v>107</v>
      </c>
      <c r="F12" s="14"/>
      <c r="G12" s="526"/>
      <c r="H12" s="526"/>
      <c r="I12" s="51"/>
      <c r="J12" s="214"/>
      <c r="K12" s="214"/>
      <c r="L12" s="209"/>
      <c r="M12" s="209"/>
      <c r="N12" s="209"/>
      <c r="O12" s="209"/>
      <c r="P12" s="209"/>
      <c r="Q12" s="209"/>
      <c r="U12" t="s">
        <v>680</v>
      </c>
      <c r="V12" s="33">
        <f t="shared" si="0"/>
        <v>0</v>
      </c>
      <c r="W12" t="s">
        <v>14</v>
      </c>
    </row>
    <row r="13" spans="2:23" ht="12.75">
      <c r="B13" t="s">
        <v>680</v>
      </c>
      <c r="C13" s="527">
        <f>I151</f>
        <v>0</v>
      </c>
      <c r="E13" s="525">
        <f>IF(AND(C9&gt;240,C12="N"),"MARK C12 'Y' PRETREATMENT REQUIRED Perc &gt;240",IF(AND(C6="A",C7&gt;-6,C12="N"),"MARK C12 'Y' PRETREATMENT REQUIRED Ashes &lt; 6 in.",IF(AND(C6="HR",C7&gt;-12,C12="N"),"MARK C12 'Y' PRETREATMENT REQUIRED Rock &lt; 12 in.","")))</f>
      </c>
      <c r="H13" s="10"/>
      <c r="I13" s="10"/>
      <c r="J13" s="212"/>
      <c r="K13" s="212"/>
      <c r="L13" s="209"/>
      <c r="M13" s="209"/>
      <c r="N13" s="209"/>
      <c r="O13" s="209"/>
      <c r="P13" s="209"/>
      <c r="Q13" s="209"/>
      <c r="U13" t="s">
        <v>681</v>
      </c>
      <c r="V13" s="33">
        <f t="shared" si="0"/>
        <v>-12</v>
      </c>
      <c r="W13" t="s">
        <v>14</v>
      </c>
    </row>
    <row r="14" spans="2:23" ht="12.75">
      <c r="B14" t="s">
        <v>681</v>
      </c>
      <c r="C14" s="528">
        <f>IF(C13+C7&gt;0,IF(AND(C13+C7&gt;0,C13+C7&lt;6),6,C13+C7),C13+C7)</f>
        <v>-12</v>
      </c>
      <c r="D14" t="s">
        <v>14</v>
      </c>
      <c r="E14" s="154" t="s">
        <v>682</v>
      </c>
      <c r="J14" s="209"/>
      <c r="K14" s="209"/>
      <c r="L14" s="209"/>
      <c r="M14" s="209"/>
      <c r="N14" s="209"/>
      <c r="O14" s="209"/>
      <c r="P14" s="209"/>
      <c r="Q14" s="209"/>
      <c r="U14" t="s">
        <v>683</v>
      </c>
      <c r="V14" s="33">
        <f t="shared" si="0"/>
        <v>12</v>
      </c>
      <c r="W14" t="s">
        <v>14</v>
      </c>
    </row>
    <row r="15" spans="2:23" ht="12.75">
      <c r="B15" t="s">
        <v>683</v>
      </c>
      <c r="C15" s="396">
        <f>+C14+24</f>
        <v>12</v>
      </c>
      <c r="D15" t="s">
        <v>14</v>
      </c>
      <c r="E15" s="154" t="s">
        <v>684</v>
      </c>
      <c r="J15" s="209"/>
      <c r="K15" s="209"/>
      <c r="L15" s="209"/>
      <c r="M15" s="209"/>
      <c r="N15" s="209"/>
      <c r="O15" s="209"/>
      <c r="P15" s="209"/>
      <c r="Q15" s="209"/>
      <c r="U15" s="10" t="s">
        <v>109</v>
      </c>
      <c r="V15" s="33">
        <f t="shared" si="0"/>
        <v>2</v>
      </c>
      <c r="W15" t="s">
        <v>19</v>
      </c>
    </row>
    <row r="16" spans="1:23" ht="12.75">
      <c r="A16" t="s">
        <v>28</v>
      </c>
      <c r="B16" s="74" t="s">
        <v>109</v>
      </c>
      <c r="C16" s="87">
        <v>2</v>
      </c>
      <c r="D16" t="s">
        <v>19</v>
      </c>
      <c r="J16" s="209"/>
      <c r="K16" s="209"/>
      <c r="L16" s="209"/>
      <c r="M16" s="209"/>
      <c r="N16" s="209"/>
      <c r="O16" s="209"/>
      <c r="P16" s="209"/>
      <c r="Q16" s="209"/>
      <c r="U16" s="10" t="s">
        <v>110</v>
      </c>
      <c r="V16" s="33">
        <f t="shared" si="0"/>
        <v>1</v>
      </c>
      <c r="W16" t="s">
        <v>19</v>
      </c>
    </row>
    <row r="17" spans="1:23" ht="12.75">
      <c r="A17" t="s">
        <v>30</v>
      </c>
      <c r="B17" s="74" t="s">
        <v>110</v>
      </c>
      <c r="C17" s="87">
        <v>1</v>
      </c>
      <c r="D17" t="s">
        <v>176</v>
      </c>
      <c r="E17" t="s">
        <v>685</v>
      </c>
      <c r="U17" s="10" t="s">
        <v>539</v>
      </c>
      <c r="V17" s="33">
        <f t="shared" si="0"/>
        <v>3</v>
      </c>
      <c r="W17" t="s">
        <v>19</v>
      </c>
    </row>
    <row r="18" spans="1:23" ht="12.75">
      <c r="A18" t="s">
        <v>33</v>
      </c>
      <c r="B18" s="74" t="s">
        <v>539</v>
      </c>
      <c r="C18" s="86">
        <v>3</v>
      </c>
      <c r="E18" s="8" t="s">
        <v>41</v>
      </c>
      <c r="F18" s="8"/>
      <c r="H18" s="48"/>
      <c r="I18" s="48"/>
      <c r="J18" s="48"/>
      <c r="K18" s="48"/>
      <c r="U18" t="s">
        <v>116</v>
      </c>
      <c r="V18" s="33">
        <f t="shared" si="0"/>
        <v>1</v>
      </c>
      <c r="W18" t="s">
        <v>117</v>
      </c>
    </row>
    <row r="19" spans="1:22" ht="12.75">
      <c r="A19" t="s">
        <v>35</v>
      </c>
      <c r="B19" t="s">
        <v>116</v>
      </c>
      <c r="C19" s="185">
        <v>1</v>
      </c>
      <c r="D19" t="s">
        <v>117</v>
      </c>
      <c r="E19" t="s">
        <v>210</v>
      </c>
      <c r="G19" t="s">
        <v>686</v>
      </c>
      <c r="L19" s="74" t="s">
        <v>212</v>
      </c>
      <c r="M19" s="74"/>
      <c r="N19" s="74"/>
      <c r="O19" s="74"/>
      <c r="P19" s="74"/>
      <c r="Q19" s="74"/>
      <c r="R19" s="10"/>
      <c r="U19" s="83" t="s">
        <v>687</v>
      </c>
      <c r="V19" s="33">
        <f t="shared" si="0"/>
        <v>1.03</v>
      </c>
    </row>
    <row r="20" spans="2:22" ht="12.75">
      <c r="B20" s="76" t="s">
        <v>221</v>
      </c>
      <c r="C20" s="529">
        <f>VLOOKUP(C19,L22:P48,3)</f>
        <v>1.03</v>
      </c>
      <c r="E20" s="76" t="str">
        <f>IF(C19&gt;25,"EXCEEDS MAX SLOPE ALLOWED","DOWNSLOPE CORRECTION FACTOR")</f>
        <v>DOWNSLOPE CORRECTION FACTOR</v>
      </c>
      <c r="F20" s="73" t="s">
        <v>216</v>
      </c>
      <c r="G20" s="73"/>
      <c r="H20" s="73"/>
      <c r="I20" s="73"/>
      <c r="L20" s="75" t="s">
        <v>211</v>
      </c>
      <c r="N20" s="73" t="s">
        <v>213</v>
      </c>
      <c r="O20" s="73"/>
      <c r="P20" s="78" t="s">
        <v>215</v>
      </c>
      <c r="Q20" s="78"/>
      <c r="U20" s="83" t="s">
        <v>688</v>
      </c>
      <c r="V20" s="33">
        <f t="shared" si="0"/>
        <v>0.97</v>
      </c>
    </row>
    <row r="21" spans="2:24" ht="12.75">
      <c r="B21" s="77" t="s">
        <v>222</v>
      </c>
      <c r="C21" s="530">
        <f>VLOOKUP(C19,L22:P48,5)</f>
        <v>0.97</v>
      </c>
      <c r="E21" s="77" t="str">
        <f>IF(C19&gt;25,"EXCEEDS MAX SLOPE ALLOWED","UPSLOPE CORRECTION FACTOR")</f>
        <v>UPSLOPE CORRECTION FACTOR</v>
      </c>
      <c r="F21" s="78" t="s">
        <v>217</v>
      </c>
      <c r="G21" s="78"/>
      <c r="H21" s="78"/>
      <c r="I21" s="78"/>
      <c r="L21" s="75" t="s">
        <v>117</v>
      </c>
      <c r="N21" s="73" t="s">
        <v>214</v>
      </c>
      <c r="O21" s="73"/>
      <c r="P21" s="78" t="s">
        <v>214</v>
      </c>
      <c r="Q21" s="78"/>
      <c r="U21" s="53" t="s">
        <v>263</v>
      </c>
      <c r="V21" s="33">
        <f>C23</f>
        <v>-12</v>
      </c>
      <c r="W21" t="s">
        <v>14</v>
      </c>
      <c r="X21">
        <f>E23</f>
      </c>
    </row>
    <row r="22" spans="1:21" ht="19.5" customHeight="1">
      <c r="A22" t="s">
        <v>36</v>
      </c>
      <c r="B22" s="53" t="s">
        <v>263</v>
      </c>
      <c r="C22" s="66"/>
      <c r="D22" s="54"/>
      <c r="E22" s="54" t="s">
        <v>152</v>
      </c>
      <c r="L22" s="531">
        <v>0</v>
      </c>
      <c r="N22" s="80">
        <v>1</v>
      </c>
      <c r="P22" s="80">
        <v>1</v>
      </c>
      <c r="U22" s="53" t="s">
        <v>264</v>
      </c>
    </row>
    <row r="23" spans="1:22" ht="12.75">
      <c r="A23" t="s">
        <v>127</v>
      </c>
      <c r="C23" s="206">
        <f>C14</f>
        <v>-12</v>
      </c>
      <c r="D23" t="str">
        <f>IF(C23&gt;0,"inches","N.A.")</f>
        <v>N.A.</v>
      </c>
      <c r="E23" s="532">
        <f>IF(C13+C7&gt;0,IF(AND(C13+C7&gt;0,C13+C7&lt;6),"Adjusted to min. 6 in above NGS",""),"")</f>
      </c>
      <c r="F23" s="81" t="s">
        <v>218</v>
      </c>
      <c r="L23" s="531">
        <v>1</v>
      </c>
      <c r="N23" s="33">
        <v>1.03</v>
      </c>
      <c r="P23" s="33">
        <v>0.97</v>
      </c>
      <c r="U23" s="138" t="s">
        <v>689</v>
      </c>
      <c r="V23" s="33">
        <f>C27</f>
        <v>-12</v>
      </c>
    </row>
    <row r="24" spans="5:22" ht="12.75">
      <c r="E24" s="220"/>
      <c r="F24" s="65" t="s">
        <v>219</v>
      </c>
      <c r="L24" s="531">
        <v>2</v>
      </c>
      <c r="N24" s="33">
        <v>1.06</v>
      </c>
      <c r="P24" s="33">
        <v>0.94</v>
      </c>
      <c r="U24" s="138" t="s">
        <v>690</v>
      </c>
      <c r="V24" s="33">
        <f>C28</f>
        <v>-11.92</v>
      </c>
    </row>
    <row r="25" spans="5:23" ht="12.75">
      <c r="E25" s="50"/>
      <c r="F25" s="220"/>
      <c r="L25" s="531">
        <v>3</v>
      </c>
      <c r="N25" s="80">
        <v>1.1</v>
      </c>
      <c r="P25" s="33">
        <v>0.92</v>
      </c>
      <c r="U25" t="s">
        <v>691</v>
      </c>
      <c r="V25" s="33">
        <f>C31</f>
        <v>8</v>
      </c>
      <c r="W25" t="s">
        <v>122</v>
      </c>
    </row>
    <row r="26" spans="1:23" ht="12.75">
      <c r="A26" t="s">
        <v>140</v>
      </c>
      <c r="B26" s="53" t="s">
        <v>264</v>
      </c>
      <c r="C26" s="89"/>
      <c r="E26" s="50" t="s">
        <v>401</v>
      </c>
      <c r="F26" s="220"/>
      <c r="G26" s="220"/>
      <c r="H26" s="220"/>
      <c r="L26" s="531">
        <v>4</v>
      </c>
      <c r="N26" s="33">
        <v>1.14</v>
      </c>
      <c r="P26" s="33">
        <v>0.89</v>
      </c>
      <c r="U26" s="533" t="s">
        <v>135</v>
      </c>
      <c r="V26" s="33">
        <f>C36</f>
        <v>0.6</v>
      </c>
      <c r="W26" t="s">
        <v>138</v>
      </c>
    </row>
    <row r="27" spans="2:23" ht="12.75">
      <c r="B27" s="138" t="s">
        <v>265</v>
      </c>
      <c r="C27" s="206">
        <f>IF(C19&gt;0,C23+C24+C25,"N.A.")</f>
        <v>-12</v>
      </c>
      <c r="D27" t="str">
        <f>IF(C27&gt;0,"inches","N.A")</f>
        <v>N.A</v>
      </c>
      <c r="E27" s="50"/>
      <c r="F27" s="220"/>
      <c r="G27" s="220"/>
      <c r="H27" s="220"/>
      <c r="L27" s="531">
        <v>5</v>
      </c>
      <c r="N27" s="33">
        <v>1.18</v>
      </c>
      <c r="P27" s="33">
        <v>0.88</v>
      </c>
      <c r="U27" s="533" t="s">
        <v>141</v>
      </c>
      <c r="V27" s="34">
        <f>C48</f>
        <v>1</v>
      </c>
      <c r="W27" t="s">
        <v>138</v>
      </c>
    </row>
    <row r="28" spans="2:16" ht="12.75">
      <c r="B28" s="138" t="s">
        <v>266</v>
      </c>
      <c r="C28" s="206">
        <f>IF(C19&gt;0,C27+C19*0.01*C67,"N.A.")</f>
        <v>-11.92</v>
      </c>
      <c r="D28" t="str">
        <f>IF(C28&gt;0,"inches","N.A.")</f>
        <v>N.A.</v>
      </c>
      <c r="E28" s="50"/>
      <c r="F28" s="220"/>
      <c r="G28" s="220"/>
      <c r="H28" s="220"/>
      <c r="L28" s="531">
        <v>6</v>
      </c>
      <c r="N28" s="33">
        <v>1.22</v>
      </c>
      <c r="P28" s="33">
        <v>0.85</v>
      </c>
    </row>
    <row r="29" spans="1:21" ht="19.5" customHeight="1">
      <c r="A29" t="s">
        <v>37</v>
      </c>
      <c r="B29" s="53" t="s">
        <v>118</v>
      </c>
      <c r="C29" s="33"/>
      <c r="F29" s="220"/>
      <c r="G29" s="220"/>
      <c r="H29" s="220"/>
      <c r="L29" s="531">
        <v>7</v>
      </c>
      <c r="N29" s="33">
        <v>1.27</v>
      </c>
      <c r="P29" s="33">
        <v>0.83</v>
      </c>
      <c r="U29" s="53" t="s">
        <v>692</v>
      </c>
    </row>
    <row r="30" spans="2:23" ht="12.75" customHeight="1">
      <c r="B30" s="53"/>
      <c r="C30" s="33"/>
      <c r="L30" s="531">
        <v>8</v>
      </c>
      <c r="N30" s="33">
        <v>1.32</v>
      </c>
      <c r="P30" s="80">
        <v>0.8</v>
      </c>
      <c r="U30" s="399" t="s">
        <v>693</v>
      </c>
      <c r="V30" s="33">
        <f>C55</f>
        <v>12</v>
      </c>
      <c r="W30" t="s">
        <v>14</v>
      </c>
    </row>
    <row r="31" spans="1:23" ht="12.75">
      <c r="A31" t="s">
        <v>153</v>
      </c>
      <c r="B31" s="52" t="s">
        <v>119</v>
      </c>
      <c r="C31" s="85">
        <v>8</v>
      </c>
      <c r="D31" t="s">
        <v>132</v>
      </c>
      <c r="E31" s="56" t="s">
        <v>133</v>
      </c>
      <c r="L31" s="531">
        <v>9</v>
      </c>
      <c r="N31" s="33">
        <v>1.38</v>
      </c>
      <c r="P31" s="33">
        <v>0.79</v>
      </c>
      <c r="U31" s="534" t="s">
        <v>694</v>
      </c>
      <c r="V31" s="33">
        <f>C56</f>
        <v>12</v>
      </c>
      <c r="W31" t="s">
        <v>14</v>
      </c>
    </row>
    <row r="32" spans="2:23" ht="12.75">
      <c r="B32" t="s">
        <v>128</v>
      </c>
      <c r="C32" s="33"/>
      <c r="E32" s="50" t="s">
        <v>131</v>
      </c>
      <c r="F32" s="50" t="s">
        <v>120</v>
      </c>
      <c r="G32" s="50"/>
      <c r="H32" s="61" t="s">
        <v>121</v>
      </c>
      <c r="I32" s="50" t="s">
        <v>122</v>
      </c>
      <c r="L32" s="531">
        <v>10</v>
      </c>
      <c r="N32" s="33">
        <v>1.44</v>
      </c>
      <c r="P32" s="33">
        <v>0.77</v>
      </c>
      <c r="U32" s="534" t="s">
        <v>695</v>
      </c>
      <c r="V32" s="33">
        <f>C57</f>
        <v>13</v>
      </c>
      <c r="W32" t="s">
        <v>14</v>
      </c>
    </row>
    <row r="33" spans="3:16" ht="12.75" customHeight="1">
      <c r="C33" s="33"/>
      <c r="E33" s="50" t="s">
        <v>130</v>
      </c>
      <c r="F33" s="50" t="s">
        <v>123</v>
      </c>
      <c r="G33" s="50"/>
      <c r="H33" s="62" t="s">
        <v>124</v>
      </c>
      <c r="I33" s="50" t="s">
        <v>122</v>
      </c>
      <c r="L33" s="531">
        <v>11</v>
      </c>
      <c r="N33" s="33">
        <v>1.51</v>
      </c>
      <c r="P33" s="33">
        <v>0.75</v>
      </c>
    </row>
    <row r="34" spans="3:23" ht="12.75">
      <c r="C34" s="33"/>
      <c r="E34" s="50" t="s">
        <v>129</v>
      </c>
      <c r="F34" s="50" t="s">
        <v>125</v>
      </c>
      <c r="G34" s="50"/>
      <c r="H34" s="62" t="s">
        <v>126</v>
      </c>
      <c r="I34" s="50" t="s">
        <v>122</v>
      </c>
      <c r="L34" s="531">
        <v>12</v>
      </c>
      <c r="N34" s="33">
        <v>1.57</v>
      </c>
      <c r="P34" s="33">
        <v>0.73</v>
      </c>
      <c r="U34" s="53" t="s">
        <v>159</v>
      </c>
      <c r="V34" s="33"/>
      <c r="W34" s="33"/>
    </row>
    <row r="35" spans="3:24" ht="12.75">
      <c r="C35" s="33"/>
      <c r="E35" s="50"/>
      <c r="F35" s="50"/>
      <c r="G35" s="50"/>
      <c r="H35" s="89"/>
      <c r="L35" s="531">
        <v>13</v>
      </c>
      <c r="N35" s="33">
        <v>1.64</v>
      </c>
      <c r="P35" s="33">
        <v>0.72</v>
      </c>
      <c r="U35" s="399" t="s">
        <v>0</v>
      </c>
      <c r="V35" s="225">
        <f>C61</f>
        <v>0</v>
      </c>
      <c r="W35" s="24" t="s">
        <v>19</v>
      </c>
      <c r="X35" t="s">
        <v>227</v>
      </c>
    </row>
    <row r="36" spans="1:24" ht="12.75">
      <c r="A36" t="s">
        <v>154</v>
      </c>
      <c r="B36" s="63" t="s">
        <v>135</v>
      </c>
      <c r="C36" s="85">
        <v>0.6</v>
      </c>
      <c r="D36" t="s">
        <v>136</v>
      </c>
      <c r="E36" s="56" t="s">
        <v>137</v>
      </c>
      <c r="F36" s="70" t="s">
        <v>139</v>
      </c>
      <c r="H36" s="70" t="s">
        <v>139</v>
      </c>
      <c r="L36" s="531">
        <v>14</v>
      </c>
      <c r="N36" s="33">
        <v>1.72</v>
      </c>
      <c r="P36" s="33">
        <v>0.71</v>
      </c>
      <c r="U36" s="534" t="s">
        <v>1</v>
      </c>
      <c r="V36" s="225">
        <f>C62</f>
        <v>3.2</v>
      </c>
      <c r="W36" s="24" t="s">
        <v>19</v>
      </c>
      <c r="X36" t="s">
        <v>226</v>
      </c>
    </row>
    <row r="37" spans="2:24" ht="12.75">
      <c r="B37" s="88"/>
      <c r="C37" s="89"/>
      <c r="F37" s="72" t="s">
        <v>197</v>
      </c>
      <c r="G37" s="55"/>
      <c r="H37" s="69" t="s">
        <v>199</v>
      </c>
      <c r="L37" s="531">
        <v>15</v>
      </c>
      <c r="N37" s="33">
        <v>1.82</v>
      </c>
      <c r="P37" s="33">
        <v>0.69</v>
      </c>
      <c r="U37" s="534" t="s">
        <v>2</v>
      </c>
      <c r="V37" s="225">
        <f>C63</f>
        <v>3</v>
      </c>
      <c r="W37" s="24" t="s">
        <v>19</v>
      </c>
      <c r="X37" t="s">
        <v>226</v>
      </c>
    </row>
    <row r="38" spans="2:24" ht="12.75">
      <c r="B38" s="535">
        <f>IF(OR(C11="Y",C12="Y"),"USE PRE-TREATED VALUE","")</f>
      </c>
      <c r="C38" s="89"/>
      <c r="E38" s="68" t="s">
        <v>190</v>
      </c>
      <c r="F38" s="69" t="s">
        <v>198</v>
      </c>
      <c r="G38" s="55"/>
      <c r="H38" s="72" t="s">
        <v>198</v>
      </c>
      <c r="L38" s="531">
        <v>16</v>
      </c>
      <c r="N38" s="33">
        <v>1.92</v>
      </c>
      <c r="P38" s="33">
        <v>0.68</v>
      </c>
      <c r="U38" s="534" t="s">
        <v>3</v>
      </c>
      <c r="V38" s="225">
        <f>C64</f>
        <v>3.4</v>
      </c>
      <c r="W38" s="24" t="s">
        <v>19</v>
      </c>
      <c r="X38" t="s">
        <v>226</v>
      </c>
    </row>
    <row r="39" spans="3:23" ht="12.75">
      <c r="C39" s="33"/>
      <c r="D39" s="577" t="str">
        <f>IF($C$9&lt;21,$C$9&amp;" mpi USE-&gt;","")</f>
        <v> mpi USE-&gt;</v>
      </c>
      <c r="E39" s="29" t="s">
        <v>191</v>
      </c>
      <c r="F39" s="57" t="str">
        <f>IF(OR($C$11="Y",$C$12="Y"),"","1-0.8")</f>
        <v>1-0.8</v>
      </c>
      <c r="G39" s="65" t="s">
        <v>138</v>
      </c>
      <c r="H39" s="90">
        <f>IF(OR($C$11="Y",$C$12="Y"),"2.0 - 1.6","")</f>
      </c>
      <c r="I39" s="65" t="s">
        <v>138</v>
      </c>
      <c r="J39" s="535" t="str">
        <f>IF($C$9&lt;21,$C$9&amp;" mpi &lt;-USE","")</f>
        <v> mpi &lt;-USE</v>
      </c>
      <c r="K39" s="553"/>
      <c r="L39" s="531">
        <v>17</v>
      </c>
      <c r="N39" s="33">
        <v>2.04</v>
      </c>
      <c r="P39" s="33">
        <v>0.66</v>
      </c>
      <c r="W39" s="24"/>
    </row>
    <row r="40" spans="3:23" ht="12.75">
      <c r="C40" s="33"/>
      <c r="D40" s="577">
        <f>IF(AND($C$9&gt;20,$C$9&lt;41),$C$9&amp;" mpi USE-&gt;","")</f>
      </c>
      <c r="E40" s="29" t="s">
        <v>538</v>
      </c>
      <c r="F40" s="58" t="str">
        <f>IF(OR($C$11="Y",$C$12="Y"),"","0.8 - 0.6")</f>
        <v>0.8 - 0.6</v>
      </c>
      <c r="G40" s="65" t="s">
        <v>138</v>
      </c>
      <c r="H40" s="90">
        <f>IF(OR($C$11="Y",$C$12="Y"),"1.6 - 1.2","")</f>
      </c>
      <c r="I40" s="65" t="s">
        <v>138</v>
      </c>
      <c r="J40" s="535">
        <f>IF(AND($C$9&gt;20,$C$9&lt;41),$C$9&amp;" mpi &lt;-USE","")</f>
      </c>
      <c r="K40" s="553"/>
      <c r="L40" s="531">
        <v>18</v>
      </c>
      <c r="N40" s="33">
        <v>2.17</v>
      </c>
      <c r="P40" s="33">
        <v>0.65</v>
      </c>
      <c r="U40" s="53" t="s">
        <v>206</v>
      </c>
      <c r="W40" s="24"/>
    </row>
    <row r="41" spans="3:23" ht="12.75">
      <c r="C41" s="33"/>
      <c r="D41" s="577">
        <f>IF(AND($C$9&gt;40,$C$9&lt;61),$C$9&amp;" mpi USE-&gt;","")</f>
      </c>
      <c r="E41" s="29" t="s">
        <v>192</v>
      </c>
      <c r="F41" s="58" t="str">
        <f>IF(OR($C$11="Y",$C$12="Y"),"","0.6 - 0.4")</f>
        <v>0.6 - 0.4</v>
      </c>
      <c r="G41" s="65" t="s">
        <v>138</v>
      </c>
      <c r="H41" s="90">
        <f>IF(OR($C$11="Y",$C$12="Y"),"1.2 - 0.8","")</f>
      </c>
      <c r="I41" s="65" t="s">
        <v>138</v>
      </c>
      <c r="J41" s="535">
        <f>IF(AND($C$9&gt;40,$C$9&lt;61),$C$9&amp;" mpi &lt;-USE","")</f>
      </c>
      <c r="K41" s="553"/>
      <c r="L41" s="531">
        <v>19</v>
      </c>
      <c r="N41" s="33">
        <v>2.33</v>
      </c>
      <c r="P41" s="33">
        <v>0.64</v>
      </c>
      <c r="U41" t="s">
        <v>161</v>
      </c>
      <c r="V41">
        <f>C67</f>
        <v>8</v>
      </c>
      <c r="W41" s="24" t="s">
        <v>19</v>
      </c>
    </row>
    <row r="42" spans="3:29" ht="12.75">
      <c r="C42" s="33"/>
      <c r="D42" s="577">
        <f>IF(AND($C$9&gt;60,$C$9&lt;91),$C$9&amp;" mpi USE-&gt;","")</f>
      </c>
      <c r="E42" s="29" t="s">
        <v>193</v>
      </c>
      <c r="F42" s="58" t="str">
        <f>IF(OR($C$11="Y",$C$12="Y"),"","0.4 - 0.2")</f>
        <v>0.4 - 0.2</v>
      </c>
      <c r="G42" s="65" t="s">
        <v>138</v>
      </c>
      <c r="H42" s="90">
        <f>IF(OR($C$11="Y",$C$12="Y"),"0.6 - 0.3","")</f>
      </c>
      <c r="I42" s="65" t="s">
        <v>138</v>
      </c>
      <c r="J42" s="535">
        <f>IF(AND($C$9&gt;60,$C$9&lt;91),$C$9&amp;" mpi &lt;-USE","")</f>
      </c>
      <c r="K42" s="553"/>
      <c r="L42" s="531">
        <v>20</v>
      </c>
      <c r="N42" s="80">
        <v>2.5</v>
      </c>
      <c r="P42" s="33">
        <v>0.62</v>
      </c>
      <c r="U42" t="s">
        <v>160</v>
      </c>
      <c r="V42">
        <f>C68</f>
        <v>56.25</v>
      </c>
      <c r="W42" s="24" t="s">
        <v>19</v>
      </c>
      <c r="Z42" s="36"/>
      <c r="AA42" s="513" t="str">
        <f>G67&amp;" sq.ft."</f>
        <v>450 sq.ft.</v>
      </c>
      <c r="AB42" s="23"/>
      <c r="AC42" s="536">
        <f>I67</f>
        <v>8</v>
      </c>
    </row>
    <row r="43" spans="3:26" ht="12.75">
      <c r="C43" s="33"/>
      <c r="D43" s="577">
        <f>IF(AND($C$9&gt;90,$C$9&lt;121),$C$9&amp;" mpi USE-&gt;","")</f>
      </c>
      <c r="E43" s="29" t="s">
        <v>194</v>
      </c>
      <c r="F43" s="57" t="str">
        <f>IF(OR($C$11="Y",$C$12="Y"),"","0.2 - 0.1")</f>
        <v>0.2 - 0.1</v>
      </c>
      <c r="G43" s="65" t="s">
        <v>138</v>
      </c>
      <c r="H43" s="90">
        <f>IF(OR($C$11="Y",$C$12="Y"),"0.3 - 0.15","")</f>
      </c>
      <c r="I43" s="65" t="s">
        <v>138</v>
      </c>
      <c r="J43" s="535">
        <f>IF(AND($C$9&gt;90,$C$9&lt;121),$C$9&amp;" mpi &lt;-USE","")</f>
      </c>
      <c r="K43" s="553"/>
      <c r="L43" s="531">
        <v>21</v>
      </c>
      <c r="N43" s="80">
        <v>2.7</v>
      </c>
      <c r="P43" s="33">
        <v>0.61</v>
      </c>
      <c r="U43" t="s">
        <v>207</v>
      </c>
      <c r="V43">
        <f>C69</f>
        <v>450</v>
      </c>
      <c r="W43" s="24" t="s">
        <v>4</v>
      </c>
      <c r="Z43">
        <f>F68</f>
        <v>56.25</v>
      </c>
    </row>
    <row r="44" spans="3:16" ht="12.75">
      <c r="C44" s="33"/>
      <c r="D44" s="577">
        <f>IF(AND($C$9&gt;120,$C$9&lt;181),$C$9&amp;" mpi USE-&gt;","")</f>
      </c>
      <c r="E44" s="29" t="s">
        <v>195</v>
      </c>
      <c r="F44" s="58" t="str">
        <f>IF(OR($C$11="Y",$C$12="Y"),"","0.075")</f>
        <v>0.075</v>
      </c>
      <c r="G44" s="65" t="s">
        <v>138</v>
      </c>
      <c r="H44" s="91">
        <f>IF(OR($C$11="Y",$C$12="Y"),"0.125 - 0.1","")</f>
      </c>
      <c r="I44" s="65" t="s">
        <v>138</v>
      </c>
      <c r="J44" s="535">
        <f>IF(AND($C$9&gt;120,$C$9&lt;181),$C$9&amp;" mpi &lt;-USE","")</f>
      </c>
      <c r="K44" s="553"/>
      <c r="L44" s="531">
        <v>22</v>
      </c>
      <c r="N44" s="33">
        <v>2.94</v>
      </c>
      <c r="P44" s="80">
        <v>0.6</v>
      </c>
    </row>
    <row r="45" spans="3:21" ht="12.75">
      <c r="C45" s="33"/>
      <c r="D45" s="577">
        <f>IF($C$9&gt;180,$C$9&amp;" mpi USE-&gt;","")</f>
      </c>
      <c r="E45" s="29" t="s">
        <v>196</v>
      </c>
      <c r="F45" s="71" t="str">
        <f>IF(OR($C$11="Y",$C$12="Y"),"","0.05")</f>
        <v>0.05</v>
      </c>
      <c r="G45" s="65" t="s">
        <v>138</v>
      </c>
      <c r="H45" s="91">
        <f>IF(OR($C$11="Y",$C$12="Y"),"0.075","")</f>
      </c>
      <c r="I45" s="65" t="s">
        <v>138</v>
      </c>
      <c r="J45" s="535">
        <f>IF($C$9&gt;180,$C$9&amp;" mpi &lt;-USE","")</f>
      </c>
      <c r="K45" s="553"/>
      <c r="L45" s="531">
        <v>23</v>
      </c>
      <c r="N45" s="33">
        <v>3.23</v>
      </c>
      <c r="P45" s="33">
        <v>0.59</v>
      </c>
      <c r="U45" s="53" t="s">
        <v>169</v>
      </c>
    </row>
    <row r="46" spans="3:23" ht="12.75">
      <c r="C46" s="33"/>
      <c r="E46" s="29"/>
      <c r="F46" s="92"/>
      <c r="G46" s="67"/>
      <c r="H46" s="93"/>
      <c r="I46" s="65"/>
      <c r="L46" s="531">
        <v>24</v>
      </c>
      <c r="N46" s="33">
        <v>3.57</v>
      </c>
      <c r="P46" s="33">
        <v>0.58</v>
      </c>
      <c r="U46" t="s">
        <v>171</v>
      </c>
      <c r="V46">
        <f>C72</f>
        <v>54.25</v>
      </c>
      <c r="W46" s="24" t="s">
        <v>19</v>
      </c>
    </row>
    <row r="47" spans="3:22" ht="12.75">
      <c r="C47" s="33"/>
      <c r="G47" s="96" t="s">
        <v>255</v>
      </c>
      <c r="H47" s="65"/>
      <c r="I47" s="97" t="s">
        <v>256</v>
      </c>
      <c r="L47" s="531">
        <v>25</v>
      </c>
      <c r="N47" s="80">
        <v>4</v>
      </c>
      <c r="P47" s="33">
        <v>0.57</v>
      </c>
      <c r="U47" t="s">
        <v>172</v>
      </c>
      <c r="V47">
        <f>C73</f>
        <v>2</v>
      </c>
    </row>
    <row r="48" spans="1:16" ht="12.75">
      <c r="A48" t="s">
        <v>155</v>
      </c>
      <c r="B48" s="64" t="s">
        <v>141</v>
      </c>
      <c r="C48" s="186">
        <v>1</v>
      </c>
      <c r="E48" s="95" t="s">
        <v>257</v>
      </c>
      <c r="F48" s="55" t="s">
        <v>144</v>
      </c>
      <c r="G48" s="55" t="s">
        <v>145</v>
      </c>
      <c r="H48" s="50" t="s">
        <v>258</v>
      </c>
      <c r="I48" s="55" t="s">
        <v>145</v>
      </c>
      <c r="L48" s="531">
        <v>26</v>
      </c>
      <c r="N48" s="33" t="s">
        <v>537</v>
      </c>
      <c r="P48" s="33" t="s">
        <v>537</v>
      </c>
    </row>
    <row r="49" spans="2:29" ht="12.75">
      <c r="B49" s="535">
        <f>IF(OR(C11="Y",C12="Y"),"USE PRE-TREATED VALUE","")</f>
      </c>
      <c r="C49" s="29"/>
      <c r="E49" s="50" t="s">
        <v>146</v>
      </c>
      <c r="F49" s="65" t="s">
        <v>142</v>
      </c>
      <c r="G49" s="59" t="str">
        <f>IF(OR($C$11="Y",$C$12="Y"),"","1")</f>
        <v>1</v>
      </c>
      <c r="H49" s="94" t="s">
        <v>138</v>
      </c>
      <c r="I49" s="98">
        <f>IF(OR($C$11="Y",$C$12="Y"),"2","")</f>
      </c>
      <c r="U49" s="53" t="s">
        <v>205</v>
      </c>
      <c r="Y49" s="37"/>
      <c r="Z49" s="38"/>
      <c r="AA49" s="38"/>
      <c r="AB49" s="38"/>
      <c r="AC49" s="39"/>
    </row>
    <row r="50" spans="3:30" ht="12.75">
      <c r="C50" s="29"/>
      <c r="E50" s="50" t="s">
        <v>147</v>
      </c>
      <c r="F50" s="65" t="s">
        <v>143</v>
      </c>
      <c r="G50" s="60" t="str">
        <f>IF(OR($C$11="Y",$C$12="Y"),"","0.8")</f>
        <v>0.8</v>
      </c>
      <c r="H50" s="94" t="s">
        <v>138</v>
      </c>
      <c r="I50" s="99">
        <f>IF(OR($C$11="Y",$C$12="Y"),"1.5","")</f>
      </c>
      <c r="U50" t="s">
        <v>183</v>
      </c>
      <c r="V50">
        <f>C78</f>
        <v>12</v>
      </c>
      <c r="W50" t="s">
        <v>19</v>
      </c>
      <c r="Y50" s="40"/>
      <c r="Z50" s="537"/>
      <c r="AA50" s="538" t="str">
        <f>ROUNDUP(C80,0)&amp;" sq.ft."</f>
        <v>723 sq.ft.</v>
      </c>
      <c r="AB50" s="537"/>
      <c r="AC50" s="41"/>
      <c r="AD50" s="536">
        <f>I79</f>
        <v>12</v>
      </c>
    </row>
    <row r="51" spans="3:29" ht="12.75">
      <c r="C51" s="29"/>
      <c r="E51" s="50" t="s">
        <v>148</v>
      </c>
      <c r="F51" s="65" t="s">
        <v>151</v>
      </c>
      <c r="G51" s="60" t="str">
        <f>IF(OR($C$11="Y",$C$12="Y"),"","0.6")</f>
        <v>0.6</v>
      </c>
      <c r="H51" s="94" t="s">
        <v>138</v>
      </c>
      <c r="I51" s="98">
        <f>IF(OR($C$11="Y",$C$12="Y"),"1","")</f>
      </c>
      <c r="U51" t="s">
        <v>182</v>
      </c>
      <c r="V51">
        <f>C79</f>
        <v>60.25</v>
      </c>
      <c r="W51" t="s">
        <v>19</v>
      </c>
      <c r="Y51" s="42"/>
      <c r="Z51" s="43"/>
      <c r="AA51" s="43"/>
      <c r="AB51" s="43"/>
      <c r="AC51" s="44"/>
    </row>
    <row r="52" spans="3:26" ht="12.75">
      <c r="C52" s="29"/>
      <c r="E52" s="50" t="s">
        <v>149</v>
      </c>
      <c r="F52" s="65" t="s">
        <v>150</v>
      </c>
      <c r="G52" s="60" t="str">
        <f>IF(OR($C$11="Y",$C$12="Y"),"","0.4")</f>
        <v>0.4</v>
      </c>
      <c r="H52" s="94" t="s">
        <v>138</v>
      </c>
      <c r="I52" s="99">
        <f>IF(OR($C$11="Y",$C$12="Y"),"0.6","")</f>
      </c>
      <c r="L52" s="79"/>
      <c r="U52" t="s">
        <v>208</v>
      </c>
      <c r="V52">
        <f>C80</f>
        <v>723</v>
      </c>
      <c r="W52" t="s">
        <v>39</v>
      </c>
      <c r="Z52">
        <f>C79</f>
        <v>60.25</v>
      </c>
    </row>
    <row r="53" ht="12.75" customHeight="1">
      <c r="C53" s="33"/>
    </row>
    <row r="54" spans="1:30" ht="12.75" customHeight="1">
      <c r="A54" t="s">
        <v>43</v>
      </c>
      <c r="B54" s="53" t="s">
        <v>692</v>
      </c>
      <c r="C54" s="33"/>
      <c r="U54" s="53" t="s">
        <v>186</v>
      </c>
      <c r="X54" s="113"/>
      <c r="Y54" s="114"/>
      <c r="Z54" s="114"/>
      <c r="AA54" s="114"/>
      <c r="AB54" s="114"/>
      <c r="AC54" s="114"/>
      <c r="AD54" s="115"/>
    </row>
    <row r="55" spans="2:30" ht="12.75" customHeight="1">
      <c r="B55" t="s">
        <v>402</v>
      </c>
      <c r="C55" s="201">
        <f>C23+24</f>
        <v>12</v>
      </c>
      <c r="D55" t="str">
        <f>IF(C55&gt;0,"inches","N.A.")</f>
        <v>inches</v>
      </c>
      <c r="E55" s="50"/>
      <c r="F55" s="113"/>
      <c r="G55" s="114"/>
      <c r="H55" s="114"/>
      <c r="I55" s="114"/>
      <c r="J55" s="114"/>
      <c r="K55" s="114"/>
      <c r="L55" s="115"/>
      <c r="U55" t="s">
        <v>189</v>
      </c>
      <c r="V55">
        <f>C83</f>
        <v>750</v>
      </c>
      <c r="W55" t="s">
        <v>39</v>
      </c>
      <c r="X55" s="116"/>
      <c r="Y55" s="37"/>
      <c r="Z55" s="38"/>
      <c r="AA55" s="38"/>
      <c r="AB55" s="38"/>
      <c r="AC55" s="39"/>
      <c r="AD55" s="117"/>
    </row>
    <row r="56" spans="1:31" ht="12.75" customHeight="1">
      <c r="A56" t="s">
        <v>45</v>
      </c>
      <c r="B56" s="226" t="s">
        <v>403</v>
      </c>
      <c r="C56" s="201">
        <f>C128</f>
        <v>12</v>
      </c>
      <c r="D56" t="str">
        <f>IF(C56&gt;0,"inches","N.A.")</f>
        <v>inches</v>
      </c>
      <c r="E56" s="50" t="s">
        <v>158</v>
      </c>
      <c r="F56" s="116"/>
      <c r="G56" s="37"/>
      <c r="H56" s="38"/>
      <c r="I56" s="38"/>
      <c r="J56" s="38"/>
      <c r="K56" s="39"/>
      <c r="L56" s="117"/>
      <c r="U56" t="s">
        <v>200</v>
      </c>
      <c r="V56">
        <f>C84</f>
        <v>1227</v>
      </c>
      <c r="W56" t="s">
        <v>39</v>
      </c>
      <c r="X56" s="116"/>
      <c r="Y56" s="40"/>
      <c r="Z56" s="36"/>
      <c r="AA56" s="22" t="str">
        <f>AA42</f>
        <v>450 sq.ft.</v>
      </c>
      <c r="AB56" s="23"/>
      <c r="AC56" s="41"/>
      <c r="AD56" s="117"/>
      <c r="AE56" s="536">
        <f>J83</f>
        <v>18.4</v>
      </c>
    </row>
    <row r="57" spans="2:31" ht="12.75" customHeight="1">
      <c r="B57" s="226" t="s">
        <v>404</v>
      </c>
      <c r="C57" s="201">
        <f>ROUNDUP(C129,0)</f>
        <v>13</v>
      </c>
      <c r="D57" t="str">
        <f>IF(C57&gt;0,"inches","N.A.")</f>
        <v>inches</v>
      </c>
      <c r="E57" s="50" t="s">
        <v>224</v>
      </c>
      <c r="F57" s="116"/>
      <c r="G57" s="40"/>
      <c r="H57" s="36"/>
      <c r="I57" s="22"/>
      <c r="J57" s="23"/>
      <c r="K57" s="41"/>
      <c r="L57" s="117"/>
      <c r="S57" s="147"/>
      <c r="T57" s="10"/>
      <c r="U57" s="147" t="s">
        <v>209</v>
      </c>
      <c r="V57" s="147">
        <f>IF(F91&gt;C85,C93,C85)</f>
        <v>0</v>
      </c>
      <c r="W57" s="83" t="s">
        <v>39</v>
      </c>
      <c r="X57" s="116"/>
      <c r="Y57" s="42"/>
      <c r="Z57" s="43"/>
      <c r="AA57" s="539" t="str">
        <f>AA50</f>
        <v>723 sq.ft.</v>
      </c>
      <c r="AB57" s="43"/>
      <c r="AC57" s="44"/>
      <c r="AD57" s="117"/>
      <c r="AE57" s="397">
        <f>M95</f>
      </c>
    </row>
    <row r="58" spans="3:30" ht="12.75" customHeight="1">
      <c r="C58" s="33"/>
      <c r="E58" t="s">
        <v>268</v>
      </c>
      <c r="F58" s="116"/>
      <c r="G58" s="42"/>
      <c r="H58" s="43"/>
      <c r="I58" s="43"/>
      <c r="J58" s="43"/>
      <c r="K58" s="44"/>
      <c r="L58" s="117"/>
      <c r="S58" s="147"/>
      <c r="T58" s="10"/>
      <c r="U58" s="554">
        <f>IF(OR(C88&lt;1,C88=""),"","Based on "&amp;C88&amp;":1 side slopes")</f>
      </c>
      <c r="V58" s="555"/>
      <c r="X58" s="118"/>
      <c r="Y58" s="119"/>
      <c r="Z58" s="119"/>
      <c r="AA58" s="540" t="str">
        <f>V57&amp;" sq.ft."</f>
        <v>0 sq.ft.</v>
      </c>
      <c r="AB58" s="119"/>
      <c r="AC58" s="119"/>
      <c r="AD58" s="120"/>
    </row>
    <row r="59" spans="3:26" ht="12.75" customHeight="1">
      <c r="C59" s="33"/>
      <c r="F59" s="118"/>
      <c r="G59" s="119"/>
      <c r="H59" s="119"/>
      <c r="I59" s="119"/>
      <c r="J59" s="119"/>
      <c r="K59" s="119"/>
      <c r="L59" s="120"/>
      <c r="U59">
        <f>IF(AND(V55&gt;V56,C93=0),"INCREASE END/SIDE SLOPES","")</f>
      </c>
      <c r="Z59" s="397">
        <f>F85</f>
        <v>66.65</v>
      </c>
    </row>
    <row r="60" spans="1:26" ht="19.5" customHeight="1">
      <c r="A60" t="s">
        <v>48</v>
      </c>
      <c r="B60" s="53" t="s">
        <v>159</v>
      </c>
      <c r="C60" s="33"/>
      <c r="D60" s="33"/>
      <c r="V60" s="397"/>
      <c r="Z60" s="397">
        <f>F98</f>
      </c>
    </row>
    <row r="61" spans="1:5" ht="12.75">
      <c r="A61" t="s">
        <v>49</v>
      </c>
      <c r="B61" t="s">
        <v>405</v>
      </c>
      <c r="C61" s="201">
        <f>IF(C19=0,C55/12*3,0)</f>
        <v>0</v>
      </c>
      <c r="D61" s="33" t="s">
        <v>19</v>
      </c>
      <c r="E61" t="s">
        <v>227</v>
      </c>
    </row>
    <row r="62" spans="2:5" ht="12.75">
      <c r="B62" s="226" t="s">
        <v>406</v>
      </c>
      <c r="C62" s="201">
        <f>ROUNDUP(C137,1)</f>
        <v>3.2</v>
      </c>
      <c r="D62" s="33" t="s">
        <v>19</v>
      </c>
      <c r="E62" t="s">
        <v>226</v>
      </c>
    </row>
    <row r="63" spans="2:5" ht="12.75">
      <c r="B63" s="226" t="s">
        <v>407</v>
      </c>
      <c r="C63" s="201">
        <f>ROUNDUP(C138,1)</f>
        <v>3</v>
      </c>
      <c r="D63" s="33" t="s">
        <v>19</v>
      </c>
      <c r="E63" t="s">
        <v>226</v>
      </c>
    </row>
    <row r="64" spans="2:5" ht="12.75">
      <c r="B64" s="226" t="s">
        <v>408</v>
      </c>
      <c r="C64" s="201">
        <f>ROUNDUP(C139,1)</f>
        <v>3.4</v>
      </c>
      <c r="D64" s="33" t="s">
        <v>19</v>
      </c>
      <c r="E64" t="s">
        <v>226</v>
      </c>
    </row>
    <row r="65" spans="3:4" ht="4.5" customHeight="1">
      <c r="C65" s="33"/>
      <c r="D65" s="33"/>
    </row>
    <row r="66" spans="1:4" ht="19.5" customHeight="1" thickBot="1">
      <c r="A66" t="s">
        <v>52</v>
      </c>
      <c r="B66" s="53" t="s">
        <v>206</v>
      </c>
      <c r="C66" s="33"/>
      <c r="D66" s="33"/>
    </row>
    <row r="67" spans="1:9" ht="13.5" thickBot="1">
      <c r="A67" t="s">
        <v>53</v>
      </c>
      <c r="B67" t="s">
        <v>161</v>
      </c>
      <c r="C67" s="201">
        <f>IF(C31/C48&lt;3,3,C31/C48)</f>
        <v>8</v>
      </c>
      <c r="D67" s="33" t="s">
        <v>19</v>
      </c>
      <c r="E67" t="s">
        <v>164</v>
      </c>
      <c r="F67" s="122"/>
      <c r="G67" s="541">
        <f>C69</f>
        <v>450</v>
      </c>
      <c r="H67" s="123" t="s">
        <v>78</v>
      </c>
      <c r="I67" s="542">
        <f>C67</f>
        <v>8</v>
      </c>
    </row>
    <row r="68" spans="1:7" ht="12.75">
      <c r="A68" t="s">
        <v>54</v>
      </c>
      <c r="B68" t="s">
        <v>160</v>
      </c>
      <c r="C68" s="201">
        <f>C5/C31</f>
        <v>56.25</v>
      </c>
      <c r="D68" s="33" t="s">
        <v>19</v>
      </c>
      <c r="E68" t="s">
        <v>166</v>
      </c>
      <c r="F68" s="543">
        <f>C68</f>
        <v>56.25</v>
      </c>
      <c r="G68" s="33"/>
    </row>
    <row r="69" spans="1:5" ht="12.75">
      <c r="A69" t="s">
        <v>55</v>
      </c>
      <c r="B69" t="s">
        <v>207</v>
      </c>
      <c r="C69" s="201">
        <f>C67*C68</f>
        <v>450</v>
      </c>
      <c r="D69" s="33" t="s">
        <v>39</v>
      </c>
      <c r="E69" t="s">
        <v>167</v>
      </c>
    </row>
    <row r="70" spans="3:4" ht="4.5" customHeight="1">
      <c r="C70" s="33"/>
      <c r="D70" s="33"/>
    </row>
    <row r="71" spans="1:4" ht="19.5" customHeight="1">
      <c r="A71" t="s">
        <v>168</v>
      </c>
      <c r="B71" s="53" t="s">
        <v>169</v>
      </c>
      <c r="C71" s="33"/>
      <c r="D71" s="33"/>
    </row>
    <row r="72" spans="1:5" ht="12.75">
      <c r="A72" t="s">
        <v>170</v>
      </c>
      <c r="B72" t="s">
        <v>171</v>
      </c>
      <c r="C72" s="201">
        <f>C68-2</f>
        <v>54.25</v>
      </c>
      <c r="D72" s="33" t="s">
        <v>19</v>
      </c>
      <c r="E72" t="s">
        <v>5</v>
      </c>
    </row>
    <row r="73" spans="1:9" ht="12.75">
      <c r="A73" t="s">
        <v>178</v>
      </c>
      <c r="B73" t="s">
        <v>172</v>
      </c>
      <c r="C73" s="201">
        <f>ROUNDDOWN(C141,0)</f>
        <v>2</v>
      </c>
      <c r="D73" s="33" t="s">
        <v>175</v>
      </c>
      <c r="E73" t="s">
        <v>6</v>
      </c>
      <c r="I73" t="str">
        <f>ROUND(C67,2)&amp;" /3 = "&amp;ROUNDDOWN((C67/3),0)</f>
        <v>8 /3 = 2</v>
      </c>
    </row>
    <row r="74" spans="3:5" ht="12.75">
      <c r="C74" s="110"/>
      <c r="D74" s="33"/>
      <c r="E74" t="s">
        <v>177</v>
      </c>
    </row>
    <row r="75" spans="2:4" ht="12.75">
      <c r="B75" t="s">
        <v>261</v>
      </c>
      <c r="C75" s="33"/>
      <c r="D75" s="33"/>
    </row>
    <row r="76" spans="3:4" ht="4.5" customHeight="1">
      <c r="C76" s="33"/>
      <c r="D76" s="33"/>
    </row>
    <row r="77" spans="1:4" ht="13.5" thickBot="1">
      <c r="A77" t="s">
        <v>179</v>
      </c>
      <c r="B77" s="53" t="s">
        <v>205</v>
      </c>
      <c r="C77" s="33"/>
      <c r="D77" s="33"/>
    </row>
    <row r="78" spans="1:8" ht="12.75">
      <c r="A78" t="s">
        <v>180</v>
      </c>
      <c r="B78" t="s">
        <v>183</v>
      </c>
      <c r="C78" s="200">
        <f>C67+4</f>
        <v>12</v>
      </c>
      <c r="D78" s="33" t="s">
        <v>19</v>
      </c>
      <c r="E78" t="s">
        <v>7</v>
      </c>
      <c r="F78" s="124"/>
      <c r="G78" s="137"/>
      <c r="H78" s="125"/>
    </row>
    <row r="79" spans="1:9" ht="13.5" thickBot="1">
      <c r="A79" t="s">
        <v>181</v>
      </c>
      <c r="B79" t="s">
        <v>182</v>
      </c>
      <c r="C79" s="200">
        <f>C68+4</f>
        <v>60.25</v>
      </c>
      <c r="D79" s="33" t="s">
        <v>19</v>
      </c>
      <c r="E79" t="s">
        <v>8</v>
      </c>
      <c r="F79" s="126"/>
      <c r="G79" s="544">
        <f>C80</f>
        <v>723</v>
      </c>
      <c r="H79" s="127" t="s">
        <v>78</v>
      </c>
      <c r="I79" s="542">
        <f>C78</f>
        <v>12</v>
      </c>
    </row>
    <row r="80" spans="1:6" ht="12.75">
      <c r="A80" t="s">
        <v>204</v>
      </c>
      <c r="B80" t="s">
        <v>208</v>
      </c>
      <c r="C80" s="200">
        <f>C78*C79</f>
        <v>723</v>
      </c>
      <c r="D80" s="33" t="s">
        <v>39</v>
      </c>
      <c r="E80" t="s">
        <v>184</v>
      </c>
      <c r="F80" s="543">
        <f>C79</f>
        <v>60.25</v>
      </c>
    </row>
    <row r="81" ht="4.5" customHeight="1" thickBot="1"/>
    <row r="82" spans="1:9" ht="12.75">
      <c r="A82" t="s">
        <v>185</v>
      </c>
      <c r="B82" s="53" t="s">
        <v>186</v>
      </c>
      <c r="F82" s="128"/>
      <c r="G82" s="129"/>
      <c r="H82" s="129"/>
      <c r="I82" s="130"/>
    </row>
    <row r="83" spans="1:10" ht="12.75">
      <c r="A83" t="s">
        <v>187</v>
      </c>
      <c r="B83" t="s">
        <v>189</v>
      </c>
      <c r="C83" s="200">
        <f>C5/C36</f>
        <v>750</v>
      </c>
      <c r="D83" s="33" t="s">
        <v>39</v>
      </c>
      <c r="F83" s="131"/>
      <c r="G83" s="545">
        <f>IF(C83&gt;C84,C83,C84)</f>
        <v>1227</v>
      </c>
      <c r="H83" s="132" t="s">
        <v>78</v>
      </c>
      <c r="I83" s="133"/>
      <c r="J83" s="556">
        <f>IF(G83=C84,C78+C63+C64,"See Row R-4")</f>
        <v>18.4</v>
      </c>
    </row>
    <row r="84" spans="1:10" ht="13.5" thickBot="1">
      <c r="A84" t="s">
        <v>201</v>
      </c>
      <c r="B84" t="s">
        <v>200</v>
      </c>
      <c r="C84" s="200">
        <f>C145</f>
        <v>1227</v>
      </c>
      <c r="D84" s="33" t="s">
        <v>39</v>
      </c>
      <c r="E84" s="65" t="s">
        <v>269</v>
      </c>
      <c r="F84" s="134"/>
      <c r="G84" s="135"/>
      <c r="H84" s="135"/>
      <c r="I84" s="136"/>
      <c r="J84" s="170">
        <f>IF(G83=C84,"","R4")</f>
      </c>
    </row>
    <row r="85" spans="1:6" ht="12.75">
      <c r="A85" t="s">
        <v>188</v>
      </c>
      <c r="B85" t="s">
        <v>209</v>
      </c>
      <c r="C85" s="200">
        <f>IF(C84&gt;C83,C84,C83)</f>
        <v>1227</v>
      </c>
      <c r="D85" s="33" t="s">
        <v>39</v>
      </c>
      <c r="E85" s="139" t="s">
        <v>270</v>
      </c>
      <c r="F85" s="170">
        <f>IF(G83=C84,C79+(2*C62),"See R4 Statement")</f>
        <v>66.65</v>
      </c>
    </row>
    <row r="86" spans="1:8" ht="12.75">
      <c r="A86" s="140" t="s">
        <v>271</v>
      </c>
      <c r="B86" s="557" t="s">
        <v>808</v>
      </c>
      <c r="C86" s="25"/>
      <c r="D86" s="25"/>
      <c r="E86" s="141" t="s">
        <v>230</v>
      </c>
      <c r="F86" s="25"/>
      <c r="G86" s="25"/>
      <c r="H86" s="25"/>
    </row>
    <row r="87" spans="1:8" ht="12.75">
      <c r="A87" s="25"/>
      <c r="B87" s="557">
        <f>IF(C83&gt;C84,"ADJUST SIDE SLOPE","")</f>
      </c>
      <c r="C87" s="25"/>
      <c r="D87" s="25"/>
      <c r="E87" s="141" t="s">
        <v>231</v>
      </c>
      <c r="F87" s="25"/>
      <c r="G87" s="25"/>
      <c r="H87" s="25"/>
    </row>
    <row r="88" spans="1:8" ht="12.75">
      <c r="A88" s="25"/>
      <c r="B88" s="558">
        <f>G91</f>
      </c>
      <c r="C88" s="84"/>
      <c r="D88" s="25" t="s">
        <v>696</v>
      </c>
      <c r="E88" s="25"/>
      <c r="F88" s="25"/>
      <c r="G88" s="25"/>
      <c r="H88" s="25"/>
    </row>
    <row r="89" spans="1:8" ht="12.75">
      <c r="A89" s="25"/>
      <c r="B89" s="25"/>
      <c r="C89" s="25"/>
      <c r="D89" s="25"/>
      <c r="E89" s="25" t="s">
        <v>697</v>
      </c>
      <c r="F89" s="303">
        <f>IF(C88&gt;0,G137,"")</f>
      </c>
      <c r="G89" s="25"/>
      <c r="H89" s="25"/>
    </row>
    <row r="90" spans="1:8" ht="12.75">
      <c r="A90" s="25"/>
      <c r="B90" s="25"/>
      <c r="C90" s="25"/>
      <c r="D90" s="25"/>
      <c r="E90" s="25" t="s">
        <v>698</v>
      </c>
      <c r="F90" s="303">
        <f>IF(C88&gt;0,H137,"")</f>
      </c>
      <c r="G90" s="25"/>
      <c r="H90" s="25"/>
    </row>
    <row r="91" spans="1:8" ht="12.75">
      <c r="A91" s="25"/>
      <c r="B91" s="25"/>
      <c r="C91" s="25"/>
      <c r="D91" s="25"/>
      <c r="E91" s="25" t="s">
        <v>699</v>
      </c>
      <c r="F91" s="303">
        <f>IF(C88&gt;0,I137,"")</f>
      </c>
      <c r="G91" s="559">
        <f>IF(OR(C88&lt;1,C88=""),"",IF(F91&lt;G83,"TOO SMALL","OK"))</f>
      </c>
      <c r="H91" s="25"/>
    </row>
    <row r="92" spans="6:7" ht="12.75">
      <c r="F92" s="397"/>
      <c r="G92" s="26"/>
    </row>
    <row r="93" spans="3:12" ht="12.75">
      <c r="C93" s="560">
        <f>IF(OR(F91="",F91=0),0,ROUND(F91,0))</f>
        <v>0</v>
      </c>
      <c r="F93" s="113"/>
      <c r="G93" s="114"/>
      <c r="H93" s="114"/>
      <c r="I93" s="114"/>
      <c r="J93" s="114"/>
      <c r="K93" s="114"/>
      <c r="L93" s="115"/>
    </row>
    <row r="94" spans="6:12" ht="12.75">
      <c r="F94" s="116"/>
      <c r="G94" s="37"/>
      <c r="H94" s="38"/>
      <c r="I94" s="38"/>
      <c r="J94" s="38"/>
      <c r="K94" s="39"/>
      <c r="L94" s="117"/>
    </row>
    <row r="95" spans="6:13" ht="12.75">
      <c r="F95" s="116"/>
      <c r="G95" s="40"/>
      <c r="H95" s="36"/>
      <c r="I95" s="22"/>
      <c r="J95" s="23"/>
      <c r="K95" s="41"/>
      <c r="L95" s="117"/>
      <c r="M95" s="397">
        <f>F90</f>
      </c>
    </row>
    <row r="96" spans="6:12" ht="12.75">
      <c r="F96" s="116"/>
      <c r="G96" s="42"/>
      <c r="H96" s="43"/>
      <c r="I96" s="43"/>
      <c r="J96" s="43"/>
      <c r="K96" s="44"/>
      <c r="L96" s="117"/>
    </row>
    <row r="97" spans="6:12" ht="12.75">
      <c r="F97" s="118"/>
      <c r="G97" s="119"/>
      <c r="H97" s="561">
        <f>IF(C88&gt;0,ROUND(F91,2)&amp;" sq.ft.","")</f>
      </c>
      <c r="I97" s="119"/>
      <c r="J97" s="119"/>
      <c r="K97" s="119"/>
      <c r="L97" s="120"/>
    </row>
    <row r="98" ht="12.75">
      <c r="F98" s="397">
        <f>F89</f>
      </c>
    </row>
    <row r="99" spans="1:11" ht="12.7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1:11" ht="12.7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spans="2:3" ht="12.75" hidden="1">
      <c r="B115" s="29" t="s">
        <v>9</v>
      </c>
      <c r="C115">
        <f>C7</f>
        <v>-12</v>
      </c>
    </row>
    <row r="116" spans="2:6" ht="12.75" hidden="1">
      <c r="B116" s="170"/>
      <c r="C116" s="170"/>
      <c r="D116" s="170"/>
      <c r="E116" s="170"/>
      <c r="F116" s="170"/>
    </row>
    <row r="117" spans="2:6" ht="12.75" hidden="1">
      <c r="B117" s="170"/>
      <c r="C117" s="170"/>
      <c r="D117" s="170"/>
      <c r="E117" s="180" t="s">
        <v>262</v>
      </c>
      <c r="F117" s="170"/>
    </row>
    <row r="118" spans="2:6" ht="12.75" hidden="1">
      <c r="B118" s="170" t="s">
        <v>370</v>
      </c>
      <c r="C118" s="175" t="str">
        <f>IF(C11="N",C7+18,"0")</f>
        <v>0</v>
      </c>
      <c r="D118" s="170" t="s">
        <v>14</v>
      </c>
      <c r="E118" s="170"/>
      <c r="F118" s="170"/>
    </row>
    <row r="119" spans="2:6" ht="12.75" hidden="1">
      <c r="B119" s="170" t="s">
        <v>371</v>
      </c>
      <c r="C119" s="175" t="str">
        <f>IF(OR(C7&lt;-18,C7&gt;-13),C118,"6")</f>
        <v>0</v>
      </c>
      <c r="D119" s="170" t="s">
        <v>14</v>
      </c>
      <c r="E119" s="170"/>
      <c r="F119" s="170"/>
    </row>
    <row r="120" spans="2:6" ht="12.75" hidden="1">
      <c r="B120" s="170" t="s">
        <v>399</v>
      </c>
      <c r="C120" s="175" t="str">
        <f>IF(AND(C119&gt;0,C11="N"),C119,"0")</f>
        <v>0</v>
      </c>
      <c r="D120" s="170" t="s">
        <v>14</v>
      </c>
      <c r="E120" s="170" t="s">
        <v>409</v>
      </c>
      <c r="F120" s="170"/>
    </row>
    <row r="121" spans="2:6" ht="12.75" hidden="1">
      <c r="B121" s="170" t="s">
        <v>399</v>
      </c>
      <c r="C121" s="175" t="str">
        <f>IF(AND(C119&lt;0,C11="N"),C119,"0")</f>
        <v>0</v>
      </c>
      <c r="D121" s="170" t="s">
        <v>14</v>
      </c>
      <c r="E121" s="170" t="s">
        <v>410</v>
      </c>
      <c r="F121" s="170"/>
    </row>
    <row r="122" spans="2:6" ht="12.75" hidden="1">
      <c r="B122" s="170" t="s">
        <v>398</v>
      </c>
      <c r="C122" s="175" t="str">
        <f>IF(C11="Y",C7+12,"0")</f>
        <v>0</v>
      </c>
      <c r="D122" s="170" t="s">
        <v>14</v>
      </c>
      <c r="E122" s="170"/>
      <c r="F122" s="170"/>
    </row>
    <row r="123" spans="2:6" ht="12.75" hidden="1">
      <c r="B123" s="170" t="s">
        <v>371</v>
      </c>
      <c r="C123" s="175" t="str">
        <f>IF(OR(C7&lt;-12,C7&gt;-7),C122,"6")</f>
        <v>6</v>
      </c>
      <c r="D123" s="170" t="s">
        <v>14</v>
      </c>
      <c r="E123" s="170"/>
      <c r="F123" s="170"/>
    </row>
    <row r="124" spans="2:6" ht="12.75" hidden="1">
      <c r="B124" s="170" t="s">
        <v>400</v>
      </c>
      <c r="C124" s="175" t="str">
        <f>IF(OR(C123&gt;0,C123&lt;0,(AND(C11="Y"))),C123,0)</f>
        <v>6</v>
      </c>
      <c r="D124" s="170" t="s">
        <v>14</v>
      </c>
      <c r="E124" s="170"/>
      <c r="F124" s="170"/>
    </row>
    <row r="125" spans="2:6" ht="12.75" hidden="1">
      <c r="B125" s="170"/>
      <c r="C125" s="175" t="str">
        <f>IF(C23="0",C7+12,"0")</f>
        <v>0</v>
      </c>
      <c r="D125" s="170" t="s">
        <v>14</v>
      </c>
      <c r="E125" s="170" t="s">
        <v>253</v>
      </c>
      <c r="F125" s="170"/>
    </row>
    <row r="126" spans="2:6" ht="12.75" hidden="1">
      <c r="B126" s="170"/>
      <c r="C126" s="175" t="str">
        <f>IF(OR(C7&lt;-12,C7&gt;-7),C125,"6")</f>
        <v>6</v>
      </c>
      <c r="D126" s="170" t="s">
        <v>14</v>
      </c>
      <c r="E126" s="170" t="s">
        <v>254</v>
      </c>
      <c r="F126" s="170"/>
    </row>
    <row r="127" spans="2:6" ht="12.75" hidden="1">
      <c r="B127" s="170"/>
      <c r="C127" s="175"/>
      <c r="D127" s="170"/>
      <c r="E127" s="180" t="s">
        <v>273</v>
      </c>
      <c r="F127" s="170"/>
    </row>
    <row r="128" spans="2:6" ht="12.75" hidden="1">
      <c r="B128" s="170"/>
      <c r="C128" s="175">
        <f>IF(C19&gt;0,C55,"0")</f>
        <v>12</v>
      </c>
      <c r="D128" s="170" t="s">
        <v>14</v>
      </c>
      <c r="E128" s="170" t="s">
        <v>272</v>
      </c>
      <c r="F128" s="170" t="str">
        <f>IF(AND(C24="0",C25="0",C19&gt;"0"),C23+24,"0")</f>
        <v>0</v>
      </c>
    </row>
    <row r="129" spans="2:6" ht="12.75" hidden="1">
      <c r="B129" s="170"/>
      <c r="C129" s="175">
        <f>IF(C19&gt;0,(C128+(C19*0.01)*C78),"0")</f>
        <v>12.12</v>
      </c>
      <c r="D129" s="170" t="s">
        <v>14</v>
      </c>
      <c r="E129" s="170" t="s">
        <v>220</v>
      </c>
      <c r="F129" s="170" t="str">
        <f>IF(AND(C23="0",C25="0",C19&gt;"0"),C23+18,"0")</f>
        <v>0</v>
      </c>
    </row>
    <row r="130" spans="2:6" ht="12.75" hidden="1">
      <c r="B130" s="170" t="s">
        <v>157</v>
      </c>
      <c r="C130" s="175" t="str">
        <f>IF(AND(C23="0",C24="0"),C25+24,"0")</f>
        <v>0</v>
      </c>
      <c r="D130" s="170" t="s">
        <v>14</v>
      </c>
      <c r="E130" s="170"/>
      <c r="F130" s="170" t="str">
        <f>IF(AND(C23="0",C24="0",C19&gt;"0"),C23+12,"0")</f>
        <v>0</v>
      </c>
    </row>
    <row r="131" spans="2:6" ht="12.75" hidden="1">
      <c r="B131" s="170" t="s">
        <v>223</v>
      </c>
      <c r="C131" s="175">
        <f>IF(C15&gt;0,C125+C126+C127+(C15*0.01)*C74,"0")</f>
        <v>6</v>
      </c>
      <c r="D131" s="170" t="s">
        <v>14</v>
      </c>
      <c r="E131" s="170" t="s">
        <v>220</v>
      </c>
      <c r="F131" s="170"/>
    </row>
    <row r="132" spans="2:6" ht="12.75" hidden="1">
      <c r="B132" s="170"/>
      <c r="C132" s="175">
        <f>ROUNDUP(C131,0)</f>
        <v>6</v>
      </c>
      <c r="D132" s="170" t="s">
        <v>14</v>
      </c>
      <c r="E132" s="170" t="s">
        <v>267</v>
      </c>
      <c r="F132" s="170"/>
    </row>
    <row r="133" spans="2:6" ht="12.75" hidden="1">
      <c r="B133" s="170" t="s">
        <v>156</v>
      </c>
      <c r="C133" s="175"/>
      <c r="D133" s="170"/>
      <c r="E133" s="170"/>
      <c r="F133" s="170"/>
    </row>
    <row r="134" ht="12.75" hidden="1"/>
    <row r="135" spans="2:6" ht="12.75" hidden="1">
      <c r="B135" s="170"/>
      <c r="D135" s="170"/>
      <c r="E135" s="170"/>
      <c r="F135" t="s">
        <v>700</v>
      </c>
    </row>
    <row r="136" spans="2:9" ht="12.75" hidden="1">
      <c r="B136" s="170"/>
      <c r="C136" s="175">
        <f>C55</f>
        <v>12</v>
      </c>
      <c r="D136" s="170" t="s">
        <v>665</v>
      </c>
      <c r="E136" s="170" t="s">
        <v>753</v>
      </c>
      <c r="F136" t="s">
        <v>701</v>
      </c>
      <c r="G136" t="s">
        <v>458</v>
      </c>
      <c r="H136" t="s">
        <v>436</v>
      </c>
      <c r="I136" t="s">
        <v>702</v>
      </c>
    </row>
    <row r="137" spans="2:9" ht="12.75" hidden="1">
      <c r="B137" s="571"/>
      <c r="C137" s="571">
        <f>IF(C19&gt;0,(((C56+C57)/2)/12)*3,"0")</f>
        <v>3.125</v>
      </c>
      <c r="D137" s="170" t="s">
        <v>19</v>
      </c>
      <c r="E137" s="170" t="s">
        <v>225</v>
      </c>
      <c r="F137" s="562">
        <f>IF(C19&gt;0,(((C56+C57)/2)/12)*C88,C136*C88/12)</f>
        <v>0</v>
      </c>
      <c r="G137">
        <f>F80+(F137*2)</f>
        <v>60.25</v>
      </c>
      <c r="H137" s="397">
        <f>I79+F138+F139</f>
        <v>12</v>
      </c>
      <c r="I137">
        <f>H137*G137</f>
        <v>723</v>
      </c>
    </row>
    <row r="138" spans="2:7" ht="12.75" hidden="1">
      <c r="B138" s="170"/>
      <c r="C138" s="175">
        <f>IF(C19&gt;0,(3*C56*C21)/12,"0")</f>
        <v>2.91</v>
      </c>
      <c r="D138" s="170" t="s">
        <v>19</v>
      </c>
      <c r="E138" s="170" t="s">
        <v>228</v>
      </c>
      <c r="F138" s="563">
        <f>IF(C19&gt;0,(C88*C56*C21)/12,C136*C88/12)</f>
        <v>0</v>
      </c>
      <c r="G138" s="397"/>
    </row>
    <row r="139" spans="2:6" ht="12.75" hidden="1">
      <c r="B139" s="170"/>
      <c r="C139" s="175">
        <f>(3*C57*C20)/12</f>
        <v>3.3475</v>
      </c>
      <c r="D139" s="170" t="s">
        <v>19</v>
      </c>
      <c r="E139" s="170" t="s">
        <v>229</v>
      </c>
      <c r="F139" s="562">
        <f>IF(C19&gt;0,(C88*C57*C20)/12,C136*C88/12)</f>
        <v>0</v>
      </c>
    </row>
    <row r="140" spans="2:5" ht="12.75" hidden="1">
      <c r="B140" s="170" t="s">
        <v>163</v>
      </c>
      <c r="C140" s="170">
        <f>C31/C48</f>
        <v>8</v>
      </c>
      <c r="D140" s="170"/>
      <c r="E140" s="170" t="s">
        <v>162</v>
      </c>
    </row>
    <row r="141" spans="2:6" ht="12.75" hidden="1">
      <c r="B141" s="170" t="s">
        <v>174</v>
      </c>
      <c r="C141" s="170">
        <f>C67/3</f>
        <v>2.6666666666666665</v>
      </c>
      <c r="D141" s="170"/>
      <c r="E141" s="170" t="s">
        <v>173</v>
      </c>
      <c r="F141" s="170"/>
    </row>
    <row r="142" spans="2:6" ht="12.75" hidden="1">
      <c r="B142" s="170"/>
      <c r="C142" s="170"/>
      <c r="D142" s="170"/>
      <c r="E142" s="170" t="s">
        <v>105</v>
      </c>
      <c r="F142" s="170"/>
    </row>
    <row r="143" spans="2:6" ht="12.75" hidden="1">
      <c r="B143" s="175" t="s">
        <v>203</v>
      </c>
      <c r="C143" s="170">
        <f>C61*2</f>
        <v>0</v>
      </c>
      <c r="D143" s="170"/>
      <c r="E143" s="170"/>
      <c r="F143" s="170"/>
    </row>
    <row r="144" spans="2:6" ht="12.75" hidden="1">
      <c r="B144" s="175" t="s">
        <v>202</v>
      </c>
      <c r="C144" s="170">
        <f>IF(C19&gt;0,SUM(C78+C63+C64)*SUM(C79+(2*C62)),SUM(C78+(2*C61))*(C79+(2*C61)))</f>
        <v>1226.36</v>
      </c>
      <c r="D144" s="170"/>
      <c r="E144" s="170"/>
      <c r="F144" s="170"/>
    </row>
    <row r="145" spans="2:6" ht="12.75" hidden="1">
      <c r="B145" s="170"/>
      <c r="C145" s="170">
        <f>ROUNDUP(C144,0)</f>
        <v>1227</v>
      </c>
      <c r="D145" s="170"/>
      <c r="E145" s="170"/>
      <c r="F145" s="170"/>
    </row>
    <row r="146" ht="12.75" hidden="1"/>
    <row r="147" ht="12.75" hidden="1"/>
    <row r="148" spans="3:11" ht="12.75" hidden="1">
      <c r="C148" t="s">
        <v>10</v>
      </c>
      <c r="E148" s="371"/>
      <c r="F148" s="393" t="s">
        <v>565</v>
      </c>
      <c r="G148" s="417">
        <f>C9</f>
        <v>0</v>
      </c>
      <c r="H148" s="393"/>
      <c r="I148" s="393"/>
      <c r="J148" s="393" t="str">
        <f>IF(G148&lt;1,"TREAT",IF(G148&gt;240,"TREAT","OPTION"))</f>
        <v>TREAT</v>
      </c>
      <c r="K148" s="393"/>
    </row>
    <row r="149" spans="3:11" ht="12.75" hidden="1">
      <c r="C149" t="s">
        <v>21</v>
      </c>
      <c r="E149" s="372"/>
      <c r="F149" s="54" t="s">
        <v>564</v>
      </c>
      <c r="G149" s="417" t="str">
        <f>C6</f>
        <v>O</v>
      </c>
      <c r="H149" s="54"/>
      <c r="I149" s="409" t="b">
        <f>IF(G150="N",IF(G151="A",VLOOKUP(G148,F153:G159,2),IF(G151="HR",VLOOKUP(G148,F160:G164,2),IF(G151="O",VLOOKUP(G148,F165:G169,2),0))))</f>
        <v>0</v>
      </c>
      <c r="J149" s="54"/>
      <c r="K149" s="54"/>
    </row>
    <row r="150" spans="3:11" ht="12.75" hidden="1">
      <c r="C150" t="s">
        <v>561</v>
      </c>
      <c r="E150" s="372"/>
      <c r="F150" s="54" t="s">
        <v>563</v>
      </c>
      <c r="G150" s="417">
        <f>C11</f>
        <v>0</v>
      </c>
      <c r="H150" s="54">
        <f>IF(G150="y","Y","")</f>
      </c>
      <c r="I150" s="394">
        <f>IF(G151="YA",VLOOKUP(G148,F170:G172,2),IF(G151="YHR",VLOOKUP(G148,F173:G176,2),IF(G151="YO",VLOOKUP(G148,F177:G181,2),0)))</f>
        <v>0</v>
      </c>
      <c r="J150" s="54"/>
      <c r="K150" s="54"/>
    </row>
    <row r="151" spans="3:11" ht="12.75" hidden="1">
      <c r="C151" t="s">
        <v>52</v>
      </c>
      <c r="E151" s="372"/>
      <c r="F151" s="54"/>
      <c r="G151" s="66" t="str">
        <f>H150&amp;G149</f>
        <v>O</v>
      </c>
      <c r="H151" s="54"/>
      <c r="I151" s="54">
        <f>I149+I150</f>
        <v>0</v>
      </c>
      <c r="J151" s="54"/>
      <c r="K151" s="54"/>
    </row>
    <row r="152" spans="5:11" ht="12.75" hidden="1">
      <c r="E152" s="372"/>
      <c r="G152" s="66"/>
      <c r="H152" s="54"/>
      <c r="I152" s="54"/>
      <c r="J152" s="54"/>
      <c r="K152" s="54"/>
    </row>
    <row r="153" spans="4:11" ht="12.75" hidden="1">
      <c r="D153" s="33"/>
      <c r="E153" s="372" t="s">
        <v>21</v>
      </c>
      <c r="F153" s="54">
        <v>0</v>
      </c>
      <c r="G153" s="66">
        <v>24</v>
      </c>
      <c r="H153" s="66" t="s">
        <v>569</v>
      </c>
      <c r="I153" s="54"/>
      <c r="J153" s="54"/>
      <c r="K153" s="54"/>
    </row>
    <row r="154" spans="4:11" ht="12.75" hidden="1">
      <c r="D154" s="33"/>
      <c r="E154" s="372" t="s">
        <v>21</v>
      </c>
      <c r="F154" s="54">
        <v>1</v>
      </c>
      <c r="G154" s="66">
        <v>36</v>
      </c>
      <c r="H154" s="66" t="s">
        <v>569</v>
      </c>
      <c r="I154" s="54"/>
      <c r="J154" s="54"/>
      <c r="K154" s="54"/>
    </row>
    <row r="155" spans="4:11" ht="12.75" hidden="1">
      <c r="D155" s="33"/>
      <c r="E155" s="372" t="s">
        <v>21</v>
      </c>
      <c r="F155" s="54">
        <v>5</v>
      </c>
      <c r="G155" s="66">
        <v>24</v>
      </c>
      <c r="H155" s="54"/>
      <c r="I155" s="54"/>
      <c r="J155" s="54"/>
      <c r="K155" s="54"/>
    </row>
    <row r="156" spans="4:11" ht="12.75" hidden="1">
      <c r="D156" s="33"/>
      <c r="E156" s="372" t="s">
        <v>21</v>
      </c>
      <c r="F156" s="54">
        <v>60</v>
      </c>
      <c r="G156" s="66">
        <v>24</v>
      </c>
      <c r="H156" s="54"/>
      <c r="I156" s="54"/>
      <c r="J156" s="54"/>
      <c r="K156" s="54"/>
    </row>
    <row r="157" spans="4:11" ht="12.75" hidden="1">
      <c r="D157" s="33"/>
      <c r="E157" s="372" t="s">
        <v>21</v>
      </c>
      <c r="F157" s="54">
        <v>61</v>
      </c>
      <c r="G157" s="66">
        <v>18</v>
      </c>
      <c r="H157" s="54"/>
      <c r="I157" s="54"/>
      <c r="J157" s="54"/>
      <c r="K157" s="54"/>
    </row>
    <row r="158" spans="4:11" ht="12.75" hidden="1">
      <c r="D158" s="33"/>
      <c r="E158" s="372" t="s">
        <v>21</v>
      </c>
      <c r="F158" s="54">
        <v>240</v>
      </c>
      <c r="G158" s="66">
        <v>18</v>
      </c>
      <c r="H158" s="66"/>
      <c r="I158" s="66"/>
      <c r="J158" s="54"/>
      <c r="K158" s="54"/>
    </row>
    <row r="159" spans="4:11" ht="12.75" hidden="1">
      <c r="D159" s="33"/>
      <c r="E159" s="372" t="s">
        <v>21</v>
      </c>
      <c r="F159" s="54">
        <v>241</v>
      </c>
      <c r="G159" s="66">
        <v>12</v>
      </c>
      <c r="H159" s="66" t="s">
        <v>569</v>
      </c>
      <c r="I159" s="66"/>
      <c r="J159" s="54"/>
      <c r="K159" s="54"/>
    </row>
    <row r="160" spans="4:11" ht="12.75" hidden="1">
      <c r="D160" s="33"/>
      <c r="E160" s="372" t="s">
        <v>561</v>
      </c>
      <c r="F160" s="54">
        <v>0</v>
      </c>
      <c r="G160" s="66">
        <v>24</v>
      </c>
      <c r="H160" s="66" t="s">
        <v>569</v>
      </c>
      <c r="I160" s="66"/>
      <c r="J160" s="54"/>
      <c r="K160" s="54"/>
    </row>
    <row r="161" spans="4:11" ht="12.75" hidden="1">
      <c r="D161" s="33"/>
      <c r="E161" s="372" t="s">
        <v>561</v>
      </c>
      <c r="F161" s="54">
        <v>1</v>
      </c>
      <c r="G161" s="66">
        <v>36</v>
      </c>
      <c r="H161" s="66"/>
      <c r="I161" s="66"/>
      <c r="J161" s="54"/>
      <c r="K161" s="54"/>
    </row>
    <row r="162" spans="4:7" ht="12.75" hidden="1">
      <c r="D162" s="33"/>
      <c r="E162" s="411" t="s">
        <v>561</v>
      </c>
      <c r="F162" s="49">
        <v>5</v>
      </c>
      <c r="G162" s="33">
        <v>18</v>
      </c>
    </row>
    <row r="163" spans="4:11" ht="12.75" hidden="1">
      <c r="D163" s="33"/>
      <c r="E163" s="372" t="s">
        <v>561</v>
      </c>
      <c r="F163" s="54">
        <v>240</v>
      </c>
      <c r="G163" s="66">
        <v>18</v>
      </c>
      <c r="H163" s="66"/>
      <c r="I163" s="66"/>
      <c r="J163" s="54"/>
      <c r="K163" s="54"/>
    </row>
    <row r="164" spans="4:11" ht="12.75" hidden="1">
      <c r="D164" s="33"/>
      <c r="E164" s="372" t="s">
        <v>561</v>
      </c>
      <c r="F164" s="54">
        <v>241</v>
      </c>
      <c r="G164" s="66">
        <v>12</v>
      </c>
      <c r="H164" s="66" t="s">
        <v>569</v>
      </c>
      <c r="I164" s="66"/>
      <c r="J164" s="54"/>
      <c r="K164" s="54"/>
    </row>
    <row r="165" spans="4:11" ht="12.75" hidden="1">
      <c r="D165" s="33"/>
      <c r="E165" s="372" t="s">
        <v>52</v>
      </c>
      <c r="F165" s="54">
        <v>0</v>
      </c>
      <c r="G165" s="66">
        <v>24</v>
      </c>
      <c r="H165" s="66" t="s">
        <v>569</v>
      </c>
      <c r="I165" s="66"/>
      <c r="J165" s="54"/>
      <c r="K165" s="54"/>
    </row>
    <row r="166" spans="5:11" ht="12.75" hidden="1">
      <c r="E166" s="372" t="s">
        <v>52</v>
      </c>
      <c r="F166" s="54">
        <v>1</v>
      </c>
      <c r="G166" s="66">
        <v>36</v>
      </c>
      <c r="H166" s="66"/>
      <c r="I166" s="66"/>
      <c r="J166" s="54"/>
      <c r="K166" s="54"/>
    </row>
    <row r="167" spans="5:11" ht="12.75" hidden="1">
      <c r="E167" s="411" t="s">
        <v>52</v>
      </c>
      <c r="F167" s="49">
        <v>5</v>
      </c>
      <c r="G167" s="33">
        <v>12</v>
      </c>
      <c r="J167" s="54"/>
      <c r="K167" s="54"/>
    </row>
    <row r="168" spans="5:11" ht="12.75" hidden="1">
      <c r="E168" s="372" t="s">
        <v>52</v>
      </c>
      <c r="F168" s="54">
        <v>240</v>
      </c>
      <c r="G168" s="66">
        <v>12</v>
      </c>
      <c r="H168" s="66"/>
      <c r="I168" s="66"/>
      <c r="J168" s="54"/>
      <c r="K168" s="54"/>
    </row>
    <row r="169" spans="5:11" ht="12.75" hidden="1">
      <c r="E169" s="372" t="s">
        <v>52</v>
      </c>
      <c r="F169" s="54">
        <v>241</v>
      </c>
      <c r="G169" s="66">
        <v>6</v>
      </c>
      <c r="H169" s="66" t="s">
        <v>569</v>
      </c>
      <c r="I169" s="66"/>
      <c r="J169" s="54"/>
      <c r="K169" s="54"/>
    </row>
    <row r="170" spans="5:11" ht="12.75" hidden="1">
      <c r="E170" s="372" t="s">
        <v>566</v>
      </c>
      <c r="F170" s="54">
        <v>0</v>
      </c>
      <c r="G170" s="66">
        <v>24</v>
      </c>
      <c r="H170" s="66" t="s">
        <v>569</v>
      </c>
      <c r="I170" s="54"/>
      <c r="J170" s="54"/>
      <c r="K170" s="54"/>
    </row>
    <row r="171" spans="5:11" ht="12.75" hidden="1">
      <c r="E171" s="372" t="s">
        <v>566</v>
      </c>
      <c r="F171" s="54">
        <v>5</v>
      </c>
      <c r="G171" s="66">
        <v>12</v>
      </c>
      <c r="H171" s="66" t="s">
        <v>569</v>
      </c>
      <c r="I171" s="54"/>
      <c r="J171" s="54"/>
      <c r="K171" s="54"/>
    </row>
    <row r="172" spans="5:11" ht="12.75" hidden="1">
      <c r="E172" s="372" t="s">
        <v>566</v>
      </c>
      <c r="F172" s="54">
        <v>60</v>
      </c>
      <c r="G172" s="66">
        <v>12</v>
      </c>
      <c r="H172" s="66" t="s">
        <v>569</v>
      </c>
      <c r="I172" s="54"/>
      <c r="J172" s="54"/>
      <c r="K172" s="54"/>
    </row>
    <row r="173" spans="5:11" ht="12.75" hidden="1">
      <c r="E173" s="372" t="s">
        <v>567</v>
      </c>
      <c r="F173" s="54">
        <v>0</v>
      </c>
      <c r="G173" s="66">
        <v>24</v>
      </c>
      <c r="H173" s="66" t="s">
        <v>569</v>
      </c>
      <c r="I173" s="54"/>
      <c r="J173" s="54"/>
      <c r="K173" s="54"/>
    </row>
    <row r="174" spans="5:11" ht="12.75" hidden="1">
      <c r="E174" s="372" t="s">
        <v>567</v>
      </c>
      <c r="F174" s="54">
        <v>5</v>
      </c>
      <c r="G174" s="66">
        <v>12</v>
      </c>
      <c r="H174" s="66" t="s">
        <v>569</v>
      </c>
      <c r="I174" s="54"/>
      <c r="J174" s="54"/>
      <c r="K174" s="54"/>
    </row>
    <row r="175" spans="5:11" ht="12.75" hidden="1">
      <c r="E175" s="372" t="s">
        <v>567</v>
      </c>
      <c r="F175" s="54">
        <v>240</v>
      </c>
      <c r="G175" s="66">
        <v>12</v>
      </c>
      <c r="H175" s="66" t="s">
        <v>569</v>
      </c>
      <c r="I175" s="54"/>
      <c r="J175" s="54"/>
      <c r="K175" s="54"/>
    </row>
    <row r="176" spans="5:11" ht="12.75" hidden="1">
      <c r="E176" s="372" t="s">
        <v>567</v>
      </c>
      <c r="F176" s="54">
        <v>241</v>
      </c>
      <c r="G176" s="66">
        <v>12</v>
      </c>
      <c r="H176" s="66" t="s">
        <v>569</v>
      </c>
      <c r="I176" s="54"/>
      <c r="J176" s="54"/>
      <c r="K176" s="54"/>
    </row>
    <row r="177" spans="5:11" ht="12.75" hidden="1">
      <c r="E177" s="372" t="s">
        <v>568</v>
      </c>
      <c r="F177" s="54">
        <v>0</v>
      </c>
      <c r="G177" s="66">
        <v>24</v>
      </c>
      <c r="H177" s="66" t="s">
        <v>569</v>
      </c>
      <c r="I177" s="54"/>
      <c r="J177" s="54"/>
      <c r="K177" s="54"/>
    </row>
    <row r="178" spans="5:11" ht="12.75" hidden="1">
      <c r="E178" s="372" t="s">
        <v>568</v>
      </c>
      <c r="F178" s="54">
        <v>4</v>
      </c>
      <c r="G178" s="66">
        <v>24</v>
      </c>
      <c r="H178" s="66" t="s">
        <v>569</v>
      </c>
      <c r="I178" s="54"/>
      <c r="J178" s="54"/>
      <c r="K178" s="54"/>
    </row>
    <row r="179" spans="5:11" ht="12.75" hidden="1">
      <c r="E179" s="372" t="s">
        <v>568</v>
      </c>
      <c r="F179" s="54">
        <v>5</v>
      </c>
      <c r="G179" s="66">
        <v>12</v>
      </c>
      <c r="H179" s="66" t="s">
        <v>569</v>
      </c>
      <c r="I179" s="54"/>
      <c r="J179" s="54"/>
      <c r="K179" s="54"/>
    </row>
    <row r="180" spans="5:9" ht="12.75" hidden="1">
      <c r="E180" s="372" t="s">
        <v>568</v>
      </c>
      <c r="F180" s="54">
        <v>121</v>
      </c>
      <c r="G180" s="66">
        <v>12</v>
      </c>
      <c r="H180" s="66" t="s">
        <v>569</v>
      </c>
      <c r="I180" s="54"/>
    </row>
    <row r="181" spans="5:9" ht="12.75" hidden="1">
      <c r="E181" s="374" t="s">
        <v>568</v>
      </c>
      <c r="F181" s="394">
        <v>241</v>
      </c>
      <c r="G181" s="396">
        <v>6</v>
      </c>
      <c r="H181" s="396" t="s">
        <v>569</v>
      </c>
      <c r="I181" s="394"/>
    </row>
    <row r="182" ht="12.75" hidden="1"/>
    <row r="183" ht="12.75" hidden="1"/>
  </sheetData>
  <sheetProtection password="CFD7" sheet="1"/>
  <dataValidations count="3">
    <dataValidation allowBlank="1" showInputMessage="1" showErrorMessage="1" prompt="PRE-TREATMENT REQUIRED IF PERC &lt;1 MPI OR &gt;240 MPI" sqref="C9"/>
    <dataValidation allowBlank="1" showInputMessage="1" showErrorMessage="1" prompt="PRE-TREATMENT REQUIRED IF PERC &lt;1 MPI OR &gt; 240 MPI." sqref="C7"/>
    <dataValidation type="list" allowBlank="1" showInputMessage="1" showErrorMessage="1" sqref="C6">
      <formula1>$C$149:$C$151</formula1>
    </dataValidation>
  </dataValidations>
  <printOptions/>
  <pageMargins left="0.5" right="0.5" top="0.5" bottom="1" header="0.5" footer="0.5"/>
  <pageSetup fitToHeight="1" fitToWidth="1" horizontalDpi="300" verticalDpi="300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P129"/>
  <sheetViews>
    <sheetView zoomScalePageLayoutView="0" workbookViewId="0" topLeftCell="B4">
      <selection activeCell="N26" sqref="N26"/>
    </sheetView>
  </sheetViews>
  <sheetFormatPr defaultColWidth="9.140625" defaultRowHeight="12.75"/>
  <cols>
    <col min="1" max="1" width="18.421875" style="0" customWidth="1"/>
    <col min="3" max="3" width="15.140625" style="33" customWidth="1"/>
    <col min="4" max="4" width="12.140625" style="33" customWidth="1"/>
    <col min="8" max="8" width="9.140625" style="33" customWidth="1"/>
  </cols>
  <sheetData>
    <row r="2" spans="6:16" ht="12.75">
      <c r="F2" s="371"/>
      <c r="G2" s="393" t="s">
        <v>565</v>
      </c>
      <c r="H2" s="417">
        <f>AppData!C6</f>
        <v>0</v>
      </c>
      <c r="I2" s="393"/>
      <c r="J2" s="393"/>
      <c r="K2" s="393" t="str">
        <f>IF(H2&lt;1,"TREAT",IF(H2&gt;240,"TREAT","OPTION"))</f>
        <v>TREAT</v>
      </c>
      <c r="L2" s="393"/>
      <c r="N2" s="371"/>
      <c r="O2" s="393"/>
      <c r="P2" s="567"/>
    </row>
    <row r="3" spans="1:16" s="83" customFormat="1" ht="12.75">
      <c r="A3" s="83" t="s">
        <v>550</v>
      </c>
      <c r="B3" s="83" t="s">
        <v>553</v>
      </c>
      <c r="C3" s="155" t="s">
        <v>551</v>
      </c>
      <c r="D3" s="155" t="s">
        <v>552</v>
      </c>
      <c r="F3" s="372"/>
      <c r="G3" s="54" t="s">
        <v>564</v>
      </c>
      <c r="H3" s="417">
        <f>AppData!C11</f>
        <v>0</v>
      </c>
      <c r="I3" s="54"/>
      <c r="J3" s="409" t="b">
        <f>IF(H4="N",IF(H5="A",VLOOKUP(H2,G7:H13,2),IF(H5="HR",VLOOKUP(H2,G14:H18,2),IF(H5="O",VLOOKUP(H2,G19:H23,2),0))))</f>
        <v>0</v>
      </c>
      <c r="K3" s="54"/>
      <c r="L3" s="54"/>
      <c r="N3" s="578" t="s">
        <v>552</v>
      </c>
      <c r="O3" s="579"/>
      <c r="P3" s="580"/>
    </row>
    <row r="4" spans="1:16" ht="12.75">
      <c r="A4" t="s">
        <v>548</v>
      </c>
      <c r="B4" t="s">
        <v>554</v>
      </c>
      <c r="D4" s="33">
        <v>24</v>
      </c>
      <c r="F4" s="372"/>
      <c r="G4" s="54" t="s">
        <v>563</v>
      </c>
      <c r="H4" s="417">
        <f>AppData!C14</f>
        <v>0</v>
      </c>
      <c r="I4" s="54">
        <f>IF(H4="y","Y","")</f>
      </c>
      <c r="J4" s="575">
        <f>IF(H5="YA",VLOOKUP(H2,G24:H26,2),IF(H5="YHR",VLOOKUP(H2,G27:H30,2),IF(H5="YO",VLOOKUP(H2,G31:H35,2),0)))</f>
        <v>0</v>
      </c>
      <c r="K4" s="54"/>
      <c r="L4" s="409" t="b">
        <f>IF(H5="A",VLOOKUP(H2,G7:H13,2),IF(H5="HR",VLOOKUP(H2,G14:H18,2),IF(H5="O",VLOOKUP(H2,G19:H23,2))))</f>
        <v>0</v>
      </c>
      <c r="N4" s="581" t="s">
        <v>31</v>
      </c>
      <c r="O4" s="54"/>
      <c r="P4" s="582">
        <f>IF(N5="YA",VLOOKUP(H2,G24:H26,2),IF(N5="YHR",VLOOKUP(H2,G27:H30,2),IF(N5="YO",VLOOKUP(H2,G31:H35,2),0)))</f>
        <v>0</v>
      </c>
    </row>
    <row r="5" spans="1:16" ht="12.75">
      <c r="A5" t="s">
        <v>548</v>
      </c>
      <c r="B5" s="408" t="s">
        <v>559</v>
      </c>
      <c r="C5" s="33">
        <v>36</v>
      </c>
      <c r="D5" s="33">
        <v>24</v>
      </c>
      <c r="F5" s="372"/>
      <c r="G5" s="54"/>
      <c r="H5" s="66" t="str">
        <f>I4&amp;H3</f>
        <v>0</v>
      </c>
      <c r="I5" s="54"/>
      <c r="J5" s="54">
        <f>J3+J4</f>
        <v>0</v>
      </c>
      <c r="K5" s="54"/>
      <c r="L5" s="54"/>
      <c r="N5" s="583" t="str">
        <f>N4&amp;H3</f>
        <v>Y0</v>
      </c>
      <c r="O5" s="394"/>
      <c r="P5" s="584"/>
    </row>
    <row r="6" spans="1:12" ht="12.75">
      <c r="A6" t="s">
        <v>548</v>
      </c>
      <c r="B6" t="s">
        <v>555</v>
      </c>
      <c r="C6" s="33">
        <v>24</v>
      </c>
      <c r="D6" s="33">
        <v>12</v>
      </c>
      <c r="F6" s="372"/>
      <c r="H6" s="66"/>
      <c r="I6" s="54"/>
      <c r="J6" s="54"/>
      <c r="K6" s="54"/>
      <c r="L6" s="54"/>
    </row>
    <row r="7" spans="1:12" ht="12.75">
      <c r="A7" t="s">
        <v>548</v>
      </c>
      <c r="B7" t="s">
        <v>562</v>
      </c>
      <c r="C7" s="33">
        <v>18</v>
      </c>
      <c r="D7" s="33">
        <v>12</v>
      </c>
      <c r="F7" s="372" t="s">
        <v>21</v>
      </c>
      <c r="G7" s="54">
        <v>0</v>
      </c>
      <c r="H7" s="66">
        <v>24</v>
      </c>
      <c r="I7" s="66" t="s">
        <v>569</v>
      </c>
      <c r="J7" s="54"/>
      <c r="K7" s="54"/>
      <c r="L7" s="54"/>
    </row>
    <row r="8" spans="1:12" ht="12.75">
      <c r="A8" t="s">
        <v>548</v>
      </c>
      <c r="B8" t="s">
        <v>558</v>
      </c>
      <c r="D8" s="33">
        <v>12</v>
      </c>
      <c r="F8" s="372" t="s">
        <v>21</v>
      </c>
      <c r="G8" s="54">
        <v>1</v>
      </c>
      <c r="H8" s="66">
        <v>36</v>
      </c>
      <c r="I8" s="66" t="s">
        <v>569</v>
      </c>
      <c r="J8" s="54"/>
      <c r="K8" s="54"/>
      <c r="L8" s="54"/>
    </row>
    <row r="9" spans="6:12" ht="12.75">
      <c r="F9" s="372" t="s">
        <v>21</v>
      </c>
      <c r="G9" s="54">
        <v>5</v>
      </c>
      <c r="H9" s="66">
        <v>24</v>
      </c>
      <c r="I9" s="54"/>
      <c r="J9" s="54"/>
      <c r="K9" s="54"/>
      <c r="L9" s="54"/>
    </row>
    <row r="10" spans="1:12" ht="12.75">
      <c r="A10" t="s">
        <v>547</v>
      </c>
      <c r="B10" t="s">
        <v>554</v>
      </c>
      <c r="D10" s="33">
        <v>24</v>
      </c>
      <c r="F10" s="372" t="s">
        <v>21</v>
      </c>
      <c r="G10" s="54">
        <v>60</v>
      </c>
      <c r="H10" s="66">
        <v>24</v>
      </c>
      <c r="I10" s="54"/>
      <c r="J10" s="54"/>
      <c r="K10" s="54"/>
      <c r="L10" s="54"/>
    </row>
    <row r="11" spans="1:12" ht="12.75">
      <c r="A11" t="s">
        <v>547</v>
      </c>
      <c r="B11" s="408" t="s">
        <v>559</v>
      </c>
      <c r="C11" s="33">
        <v>36</v>
      </c>
      <c r="D11" s="33">
        <v>24</v>
      </c>
      <c r="F11" s="372" t="s">
        <v>21</v>
      </c>
      <c r="G11" s="54">
        <v>61</v>
      </c>
      <c r="H11" s="66">
        <v>18</v>
      </c>
      <c r="I11" s="54"/>
      <c r="J11" s="54"/>
      <c r="K11" s="54"/>
      <c r="L11" s="54"/>
    </row>
    <row r="12" spans="1:12" ht="12.75">
      <c r="A12" t="s">
        <v>547</v>
      </c>
      <c r="B12" t="s">
        <v>556</v>
      </c>
      <c r="C12" s="33">
        <v>18</v>
      </c>
      <c r="D12" s="33">
        <v>12</v>
      </c>
      <c r="F12" s="372" t="s">
        <v>21</v>
      </c>
      <c r="G12" s="54">
        <v>240</v>
      </c>
      <c r="H12" s="66">
        <v>18</v>
      </c>
      <c r="I12" s="66"/>
      <c r="J12" s="66"/>
      <c r="K12" s="54"/>
      <c r="L12" s="54"/>
    </row>
    <row r="13" spans="1:12" ht="12.75">
      <c r="A13" t="s">
        <v>547</v>
      </c>
      <c r="B13" t="s">
        <v>557</v>
      </c>
      <c r="C13" s="33">
        <v>18</v>
      </c>
      <c r="D13" s="33">
        <v>12</v>
      </c>
      <c r="F13" s="372" t="s">
        <v>21</v>
      </c>
      <c r="G13" s="54">
        <v>241</v>
      </c>
      <c r="H13" s="66">
        <v>12</v>
      </c>
      <c r="I13" s="66" t="s">
        <v>569</v>
      </c>
      <c r="J13" s="66"/>
      <c r="K13" s="54"/>
      <c r="L13" s="54"/>
    </row>
    <row r="14" spans="1:12" ht="12.75">
      <c r="A14" t="s">
        <v>547</v>
      </c>
      <c r="B14" t="s">
        <v>558</v>
      </c>
      <c r="D14" s="33">
        <v>12</v>
      </c>
      <c r="F14" s="372" t="s">
        <v>561</v>
      </c>
      <c r="G14" s="54">
        <v>0</v>
      </c>
      <c r="H14" s="66">
        <v>24</v>
      </c>
      <c r="I14" s="66" t="s">
        <v>569</v>
      </c>
      <c r="J14" s="66"/>
      <c r="K14" s="54"/>
      <c r="L14" s="54"/>
    </row>
    <row r="15" spans="6:12" ht="12.75">
      <c r="F15" s="372" t="s">
        <v>561</v>
      </c>
      <c r="G15" s="54">
        <v>1</v>
      </c>
      <c r="H15" s="66">
        <v>36</v>
      </c>
      <c r="I15" s="66"/>
      <c r="J15" s="66"/>
      <c r="K15" s="54"/>
      <c r="L15" s="54"/>
    </row>
    <row r="16" spans="1:8" ht="12.75">
      <c r="A16" t="s">
        <v>549</v>
      </c>
      <c r="B16" t="s">
        <v>554</v>
      </c>
      <c r="D16" s="33">
        <v>24</v>
      </c>
      <c r="F16" s="411" t="s">
        <v>561</v>
      </c>
      <c r="G16" s="49">
        <v>5</v>
      </c>
      <c r="H16" s="33">
        <v>18</v>
      </c>
    </row>
    <row r="17" spans="1:12" ht="12.75">
      <c r="A17" t="s">
        <v>549</v>
      </c>
      <c r="B17" s="408" t="s">
        <v>559</v>
      </c>
      <c r="C17" s="33">
        <v>36</v>
      </c>
      <c r="D17" s="33">
        <v>24</v>
      </c>
      <c r="F17" s="372" t="s">
        <v>561</v>
      </c>
      <c r="G17" s="54">
        <v>240</v>
      </c>
      <c r="H17" s="66">
        <v>18</v>
      </c>
      <c r="I17" s="66"/>
      <c r="J17" s="66"/>
      <c r="K17" s="54"/>
      <c r="L17" s="54"/>
    </row>
    <row r="18" spans="1:12" ht="12.75">
      <c r="A18" t="s">
        <v>549</v>
      </c>
      <c r="B18" t="s">
        <v>560</v>
      </c>
      <c r="C18" s="33">
        <v>12</v>
      </c>
      <c r="D18" s="33">
        <v>12</v>
      </c>
      <c r="F18" s="372" t="s">
        <v>561</v>
      </c>
      <c r="G18" s="54">
        <v>241</v>
      </c>
      <c r="H18" s="66">
        <v>12</v>
      </c>
      <c r="I18" s="66" t="s">
        <v>569</v>
      </c>
      <c r="J18" s="66"/>
      <c r="K18" s="54"/>
      <c r="L18" s="54"/>
    </row>
    <row r="19" spans="1:12" ht="12.75">
      <c r="A19" t="s">
        <v>549</v>
      </c>
      <c r="B19" t="s">
        <v>558</v>
      </c>
      <c r="D19" s="33">
        <v>6</v>
      </c>
      <c r="F19" s="372" t="s">
        <v>52</v>
      </c>
      <c r="G19" s="54">
        <v>0</v>
      </c>
      <c r="H19" s="66">
        <v>24</v>
      </c>
      <c r="I19" s="66" t="s">
        <v>569</v>
      </c>
      <c r="J19" s="66"/>
      <c r="K19" s="54"/>
      <c r="L19" s="54"/>
    </row>
    <row r="20" spans="6:12" ht="12.75">
      <c r="F20" s="372" t="s">
        <v>52</v>
      </c>
      <c r="G20" s="54">
        <v>1</v>
      </c>
      <c r="H20" s="66">
        <v>36</v>
      </c>
      <c r="I20" s="66"/>
      <c r="J20" s="66"/>
      <c r="K20" s="54"/>
      <c r="L20" s="54"/>
    </row>
    <row r="21" spans="6:12" ht="12.75">
      <c r="F21" s="411" t="s">
        <v>52</v>
      </c>
      <c r="G21" s="49">
        <v>5</v>
      </c>
      <c r="H21" s="33">
        <v>12</v>
      </c>
      <c r="K21" s="54"/>
      <c r="L21" s="54"/>
    </row>
    <row r="22" spans="6:12" ht="12.75">
      <c r="F22" s="372" t="s">
        <v>52</v>
      </c>
      <c r="G22" s="54">
        <v>240</v>
      </c>
      <c r="H22" s="66">
        <v>12</v>
      </c>
      <c r="I22" s="66"/>
      <c r="J22" s="66"/>
      <c r="K22" s="54"/>
      <c r="L22" s="54"/>
    </row>
    <row r="23" spans="6:12" ht="12.75">
      <c r="F23" s="372" t="s">
        <v>52</v>
      </c>
      <c r="G23" s="54">
        <v>241</v>
      </c>
      <c r="H23" s="66">
        <v>6</v>
      </c>
      <c r="I23" s="66" t="s">
        <v>569</v>
      </c>
      <c r="J23" s="66"/>
      <c r="K23" s="54"/>
      <c r="L23" s="54"/>
    </row>
    <row r="24" spans="6:12" ht="12.75">
      <c r="F24" s="372" t="s">
        <v>566</v>
      </c>
      <c r="G24" s="54">
        <v>0</v>
      </c>
      <c r="H24" s="66">
        <v>24</v>
      </c>
      <c r="I24" s="66" t="s">
        <v>569</v>
      </c>
      <c r="J24" s="54"/>
      <c r="K24" s="54"/>
      <c r="L24" s="54"/>
    </row>
    <row r="25" spans="6:12" ht="12.75">
      <c r="F25" s="372" t="s">
        <v>566</v>
      </c>
      <c r="G25" s="54">
        <v>5</v>
      </c>
      <c r="H25" s="66">
        <v>12</v>
      </c>
      <c r="I25" s="66" t="s">
        <v>569</v>
      </c>
      <c r="J25" s="54"/>
      <c r="K25" s="54"/>
      <c r="L25" s="54"/>
    </row>
    <row r="26" spans="6:12" ht="12.75">
      <c r="F26" s="372" t="s">
        <v>566</v>
      </c>
      <c r="G26" s="54">
        <v>60</v>
      </c>
      <c r="H26" s="66">
        <v>12</v>
      </c>
      <c r="I26" s="66" t="s">
        <v>569</v>
      </c>
      <c r="J26" s="54"/>
      <c r="K26" s="54"/>
      <c r="L26" s="54"/>
    </row>
    <row r="27" spans="6:12" ht="12.75">
      <c r="F27" s="372" t="s">
        <v>567</v>
      </c>
      <c r="G27" s="54">
        <v>0</v>
      </c>
      <c r="H27" s="66">
        <v>24</v>
      </c>
      <c r="I27" s="66" t="s">
        <v>569</v>
      </c>
      <c r="J27" s="54"/>
      <c r="K27" s="54"/>
      <c r="L27" s="54"/>
    </row>
    <row r="28" spans="6:12" ht="12.75">
      <c r="F28" s="372" t="s">
        <v>567</v>
      </c>
      <c r="G28" s="54">
        <v>5</v>
      </c>
      <c r="H28" s="66">
        <v>12</v>
      </c>
      <c r="I28" s="66" t="s">
        <v>569</v>
      </c>
      <c r="J28" s="54"/>
      <c r="K28" s="54"/>
      <c r="L28" s="54"/>
    </row>
    <row r="29" spans="2:12" ht="12.75">
      <c r="B29" t="s">
        <v>575</v>
      </c>
      <c r="F29" s="372" t="s">
        <v>567</v>
      </c>
      <c r="G29" s="54">
        <v>240</v>
      </c>
      <c r="H29" s="66">
        <v>12</v>
      </c>
      <c r="I29" s="66" t="s">
        <v>569</v>
      </c>
      <c r="J29" s="54"/>
      <c r="K29" s="54"/>
      <c r="L29" s="54"/>
    </row>
    <row r="30" spans="2:12" ht="12.75">
      <c r="B30" s="33" t="s">
        <v>21</v>
      </c>
      <c r="F30" s="372" t="s">
        <v>567</v>
      </c>
      <c r="G30" s="54">
        <v>241</v>
      </c>
      <c r="H30" s="66">
        <v>12</v>
      </c>
      <c r="I30" s="66" t="s">
        <v>569</v>
      </c>
      <c r="J30" s="54"/>
      <c r="K30" s="54"/>
      <c r="L30" s="54"/>
    </row>
    <row r="31" spans="2:12" ht="12.75">
      <c r="B31" s="33" t="s">
        <v>561</v>
      </c>
      <c r="F31" s="372" t="s">
        <v>568</v>
      </c>
      <c r="G31" s="54">
        <v>0</v>
      </c>
      <c r="H31" s="66">
        <v>24</v>
      </c>
      <c r="I31" s="66" t="s">
        <v>569</v>
      </c>
      <c r="J31" s="54"/>
      <c r="K31" s="54"/>
      <c r="L31" s="54"/>
    </row>
    <row r="32" spans="2:12" ht="12.75">
      <c r="B32" s="33" t="s">
        <v>52</v>
      </c>
      <c r="F32" s="372" t="s">
        <v>568</v>
      </c>
      <c r="G32" s="54">
        <v>4</v>
      </c>
      <c r="H32" s="66">
        <v>24</v>
      </c>
      <c r="I32" s="66" t="s">
        <v>569</v>
      </c>
      <c r="J32" s="54"/>
      <c r="K32" s="54"/>
      <c r="L32" s="54"/>
    </row>
    <row r="33" spans="6:12" ht="12.75">
      <c r="F33" s="372" t="s">
        <v>568</v>
      </c>
      <c r="G33" s="54">
        <v>5</v>
      </c>
      <c r="H33" s="66">
        <v>12</v>
      </c>
      <c r="I33" s="66" t="s">
        <v>569</v>
      </c>
      <c r="J33" s="54"/>
      <c r="K33" s="54"/>
      <c r="L33" s="54"/>
    </row>
    <row r="34" spans="6:10" ht="12.75">
      <c r="F34" s="372" t="s">
        <v>568</v>
      </c>
      <c r="G34" s="54">
        <v>121</v>
      </c>
      <c r="H34" s="66">
        <v>12</v>
      </c>
      <c r="I34" s="66" t="s">
        <v>569</v>
      </c>
      <c r="J34" s="54"/>
    </row>
    <row r="35" spans="2:10" ht="12.75">
      <c r="B35" t="s">
        <v>650</v>
      </c>
      <c r="F35" s="374" t="s">
        <v>568</v>
      </c>
      <c r="G35" s="394">
        <v>241</v>
      </c>
      <c r="H35" s="396">
        <v>6</v>
      </c>
      <c r="I35" s="396" t="s">
        <v>569</v>
      </c>
      <c r="J35" s="394"/>
    </row>
    <row r="36" ht="12.75">
      <c r="B36" s="33" t="s">
        <v>48</v>
      </c>
    </row>
    <row r="37" ht="12.75">
      <c r="B37" s="33" t="s">
        <v>31</v>
      </c>
    </row>
    <row r="119" spans="3:4" ht="12.75">
      <c r="C119" s="404" t="s">
        <v>545</v>
      </c>
      <c r="D119"/>
    </row>
    <row r="120" spans="3:4" ht="12.75">
      <c r="C120" s="404">
        <f>IF(OR(C11=" ",C11=""),"",IF(C11="A",IF(C6&lt;1,24),IF(C6&lt;5,IF(C30="Y",24,36),IF(AND(C11="A",C6&lt;61),24,IF(AND(C11="A",C6&gt;60,C6&lt;241),18,12)))))</f>
        <v>12</v>
      </c>
      <c r="D120"/>
    </row>
    <row r="121" spans="3:4" ht="12.75">
      <c r="C121" s="405" t="b">
        <f>IF(OR(C11=" ",C11=""),"",IF(C11="HR",IF(C6&lt;1,24,IF(C6&lt;5,IF(C30="Y",24,36),IF(C6&gt;240,12,18)))))</f>
        <v>0</v>
      </c>
      <c r="D121"/>
    </row>
    <row r="122" spans="3:4" ht="12.75">
      <c r="C122" s="405" t="b">
        <f>IF(OR(C11=" ",C11=""),"",IF(C11="O",IF(C6&lt;1,24,IF(C6&lt;5,IF(C30="Y",24,36),IF(C6&gt;240,6,12)))))</f>
        <v>0</v>
      </c>
      <c r="D122"/>
    </row>
    <row r="123" spans="3:4" ht="12.75">
      <c r="C123"/>
      <c r="D123"/>
    </row>
    <row r="124" spans="2:6" ht="12.75">
      <c r="B124" t="s">
        <v>546</v>
      </c>
      <c r="C124">
        <f>IF(H30="Y",IF(OR(C6&gt;=5,C6&lt;241),12),24)</f>
        <v>24</v>
      </c>
      <c r="D124"/>
      <c r="E124">
        <f>IF(AND(C30="Y",C6&gt;=5),12,24)</f>
        <v>24</v>
      </c>
      <c r="F124">
        <f>IF(AND(C6&gt;240,C11="O"),6,12)</f>
        <v>12</v>
      </c>
    </row>
    <row r="125" spans="2:4" ht="12.75">
      <c r="B125" s="187" t="s">
        <v>543</v>
      </c>
      <c r="C125" s="406">
        <f>IF(OR(C11=" ",C11=""),"",IF(AND(C11="A",C6&lt;1),24,IF(AND(C11="A",C6&lt;5),IF(C30="Y",24,36),IF(AND(C11="A",C6&lt;61),24,IF(AND(C11="A",C6&gt;60,C6&lt;241),18,IF(C11="A",12,0))))))</f>
        <v>0</v>
      </c>
      <c r="D125"/>
    </row>
    <row r="126" spans="2:4" ht="12.75">
      <c r="B126" s="187" t="s">
        <v>542</v>
      </c>
      <c r="C126" s="407" t="b">
        <f>IF(OR(C11=" ",C11=""),"",IF(C11="HR",IF(C6&lt;1,24,IF(C6&lt;5,IF(C30="Y",24,36),IF(AND(C11="HR",C6&gt;240),12,18)))))</f>
        <v>0</v>
      </c>
      <c r="D126"/>
    </row>
    <row r="127" spans="2:4" ht="12.75">
      <c r="B127" s="187" t="s">
        <v>544</v>
      </c>
      <c r="C127" s="407" t="b">
        <f>IF(OR(C11=" ",C11=""),"",IF(C11="O",IF(C6&lt;1,24,IF(C6&lt;5,IF(C30="Y",24,36),IF(C6&gt;240,6,12)))))</f>
        <v>0</v>
      </c>
      <c r="D127"/>
    </row>
    <row r="128" spans="2:4" ht="12.75">
      <c r="B128" s="187"/>
      <c r="C128" s="187"/>
      <c r="D128"/>
    </row>
    <row r="129" spans="2:4" ht="12.75">
      <c r="B129" s="187"/>
      <c r="C129" s="187">
        <f>SUM(C125:C127)</f>
        <v>0</v>
      </c>
      <c r="D1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W254"/>
  <sheetViews>
    <sheetView zoomScalePageLayoutView="0" workbookViewId="0" topLeftCell="A1">
      <selection activeCell="N7" sqref="N7"/>
    </sheetView>
  </sheetViews>
  <sheetFormatPr defaultColWidth="9.140625" defaultRowHeight="12.75"/>
  <cols>
    <col min="2" max="2" width="10.00390625" style="0" customWidth="1"/>
    <col min="10" max="10" width="13.140625" style="0" customWidth="1"/>
    <col min="11" max="11" width="13.57421875" style="0" customWidth="1"/>
    <col min="12" max="12" width="14.140625" style="0" customWidth="1"/>
    <col min="20" max="20" width="51.421875" style="0" bestFit="1" customWidth="1"/>
    <col min="22" max="22" width="4.00390625" style="0" bestFit="1" customWidth="1"/>
    <col min="27" max="27" width="55.7109375" style="0" bestFit="1" customWidth="1"/>
    <col min="29" max="29" width="3.140625" style="0" customWidth="1"/>
    <col min="33" max="33" width="8.7109375" style="0" customWidth="1"/>
    <col min="34" max="34" width="53.7109375" style="0" customWidth="1"/>
    <col min="36" max="36" width="3.140625" style="0" customWidth="1"/>
    <col min="37" max="37" width="6.00390625" style="0" customWidth="1"/>
    <col min="41" max="41" width="53.00390625" style="0" customWidth="1"/>
    <col min="42" max="42" width="12.7109375" style="0" customWidth="1"/>
    <col min="43" max="43" width="3.00390625" style="0" customWidth="1"/>
    <col min="44" max="44" width="11.7109375" style="0" customWidth="1"/>
    <col min="46" max="46" width="9.421875" style="0" customWidth="1"/>
    <col min="48" max="48" width="17.421875" style="34" customWidth="1"/>
    <col min="49" max="49" width="15.00390625" style="34" customWidth="1"/>
  </cols>
  <sheetData>
    <row r="1" spans="5:8" ht="12.75">
      <c r="E1" t="s">
        <v>583</v>
      </c>
      <c r="H1" s="4">
        <f>AppData!C6</f>
        <v>0</v>
      </c>
    </row>
    <row r="3" ht="13.5" thickBot="1">
      <c r="B3" s="83" t="s">
        <v>464</v>
      </c>
    </row>
    <row r="4" spans="1:49" ht="36.75" thickBot="1">
      <c r="A4" s="233"/>
      <c r="B4" s="234" t="s">
        <v>465</v>
      </c>
      <c r="C4" s="621" t="s">
        <v>466</v>
      </c>
      <c r="D4" s="622"/>
      <c r="E4" s="622"/>
      <c r="F4" s="622"/>
      <c r="G4" s="622"/>
      <c r="H4" s="622"/>
      <c r="I4" s="623"/>
      <c r="J4" s="235" t="s">
        <v>467</v>
      </c>
      <c r="K4" s="235" t="s">
        <v>468</v>
      </c>
      <c r="L4" s="235" t="s">
        <v>468</v>
      </c>
      <c r="T4" s="155" t="s">
        <v>606</v>
      </c>
      <c r="AH4" s="155" t="s">
        <v>585</v>
      </c>
      <c r="AO4" s="155" t="s">
        <v>586</v>
      </c>
      <c r="AQ4" s="619" t="s">
        <v>611</v>
      </c>
      <c r="AR4" s="619"/>
      <c r="AT4" s="619" t="s">
        <v>601</v>
      </c>
      <c r="AU4" s="620"/>
      <c r="AV4" s="620"/>
      <c r="AW4" s="620"/>
    </row>
    <row r="5" spans="1:49" ht="13.5" thickBot="1">
      <c r="A5" s="233"/>
      <c r="B5" s="236" t="s">
        <v>469</v>
      </c>
      <c r="C5" s="621" t="s">
        <v>470</v>
      </c>
      <c r="D5" s="622"/>
      <c r="E5" s="623"/>
      <c r="F5" s="621" t="s">
        <v>471</v>
      </c>
      <c r="G5" s="622"/>
      <c r="H5" s="622"/>
      <c r="I5" s="623"/>
      <c r="J5" s="237" t="s">
        <v>472</v>
      </c>
      <c r="K5" s="238" t="s">
        <v>473</v>
      </c>
      <c r="L5" s="238" t="s">
        <v>474</v>
      </c>
      <c r="S5" s="143"/>
      <c r="T5" s="624" t="s">
        <v>475</v>
      </c>
      <c r="U5" s="625"/>
      <c r="V5" s="143"/>
      <c r="W5" s="143"/>
      <c r="Z5" s="25"/>
      <c r="AA5" s="239" t="s">
        <v>475</v>
      </c>
      <c r="AB5" s="240"/>
      <c r="AC5" s="25"/>
      <c r="AD5" s="25"/>
      <c r="AG5" s="241"/>
      <c r="AH5" s="242" t="s">
        <v>475</v>
      </c>
      <c r="AI5" s="243"/>
      <c r="AJ5" s="241"/>
      <c r="AK5" s="241"/>
      <c r="AN5" s="187"/>
      <c r="AO5" s="428" t="s">
        <v>475</v>
      </c>
      <c r="AP5" s="429"/>
      <c r="AQ5" s="187"/>
      <c r="AR5" s="187"/>
      <c r="AT5" s="499" t="s">
        <v>602</v>
      </c>
      <c r="AU5" s="74"/>
      <c r="AV5" s="451"/>
      <c r="AW5" s="451"/>
    </row>
    <row r="6" spans="1:49" ht="28.5" customHeight="1">
      <c r="A6" s="233"/>
      <c r="B6" s="236" t="s">
        <v>476</v>
      </c>
      <c r="C6" s="237" t="s">
        <v>477</v>
      </c>
      <c r="D6" s="606" t="s">
        <v>478</v>
      </c>
      <c r="E6" s="607"/>
      <c r="F6" s="606" t="s">
        <v>479</v>
      </c>
      <c r="G6" s="612"/>
      <c r="H6" s="606" t="s">
        <v>478</v>
      </c>
      <c r="I6" s="607"/>
      <c r="J6" s="237" t="s">
        <v>480</v>
      </c>
      <c r="K6" s="237" t="s">
        <v>481</v>
      </c>
      <c r="L6" s="237" t="s">
        <v>481</v>
      </c>
      <c r="S6" s="143"/>
      <c r="T6" s="615" t="s">
        <v>482</v>
      </c>
      <c r="U6" s="616"/>
      <c r="V6" s="143"/>
      <c r="W6" s="143"/>
      <c r="Z6" s="25"/>
      <c r="AA6" s="244" t="s">
        <v>482</v>
      </c>
      <c r="AB6" s="245"/>
      <c r="AC6" s="25"/>
      <c r="AD6" s="25"/>
      <c r="AG6" s="241"/>
      <c r="AH6" s="427" t="s">
        <v>584</v>
      </c>
      <c r="AI6" s="246"/>
      <c r="AJ6" s="241"/>
      <c r="AK6" s="241"/>
      <c r="AN6" s="187"/>
      <c r="AO6" s="430" t="s">
        <v>608</v>
      </c>
      <c r="AP6" s="431"/>
      <c r="AQ6" s="187"/>
      <c r="AR6" s="187"/>
      <c r="AT6" s="502" t="s">
        <v>605</v>
      </c>
      <c r="AU6" s="452"/>
      <c r="AV6" s="453"/>
      <c r="AW6" s="454" t="s">
        <v>604</v>
      </c>
    </row>
    <row r="7" spans="1:49" ht="37.5" customHeight="1" thickBot="1">
      <c r="A7" s="233"/>
      <c r="B7" s="247"/>
      <c r="C7" s="237" t="s">
        <v>483</v>
      </c>
      <c r="D7" s="608"/>
      <c r="E7" s="609"/>
      <c r="F7" s="613"/>
      <c r="G7" s="614"/>
      <c r="H7" s="608"/>
      <c r="I7" s="609"/>
      <c r="J7" s="237" t="s">
        <v>484</v>
      </c>
      <c r="K7" s="237" t="s">
        <v>485</v>
      </c>
      <c r="L7" s="237" t="s">
        <v>485</v>
      </c>
      <c r="S7" s="143" t="s">
        <v>486</v>
      </c>
      <c r="T7" s="617" t="s">
        <v>607</v>
      </c>
      <c r="U7" s="618"/>
      <c r="V7" s="143"/>
      <c r="W7" s="143" t="s">
        <v>487</v>
      </c>
      <c r="Z7" s="25" t="s">
        <v>486</v>
      </c>
      <c r="AA7" s="244" t="s">
        <v>488</v>
      </c>
      <c r="AB7" s="245" t="s">
        <v>489</v>
      </c>
      <c r="AC7" s="25"/>
      <c r="AD7" s="25" t="s">
        <v>487</v>
      </c>
      <c r="AG7" s="241" t="s">
        <v>486</v>
      </c>
      <c r="AH7" s="248" t="s">
        <v>490</v>
      </c>
      <c r="AI7" s="246" t="s">
        <v>489</v>
      </c>
      <c r="AJ7" s="241"/>
      <c r="AK7" s="241" t="s">
        <v>487</v>
      </c>
      <c r="AN7" s="187" t="s">
        <v>486</v>
      </c>
      <c r="AO7" s="503" t="s">
        <v>612</v>
      </c>
      <c r="AP7" s="501" t="s">
        <v>609</v>
      </c>
      <c r="AQ7" s="187"/>
      <c r="AR7" s="500" t="s">
        <v>610</v>
      </c>
      <c r="AT7" s="455" t="s">
        <v>599</v>
      </c>
      <c r="AU7" s="455" t="s">
        <v>598</v>
      </c>
      <c r="AV7" s="456" t="s">
        <v>600</v>
      </c>
      <c r="AW7" s="456" t="s">
        <v>603</v>
      </c>
    </row>
    <row r="8" spans="1:49" ht="13.5" thickBot="1">
      <c r="A8" s="233"/>
      <c r="B8" s="247"/>
      <c r="C8" s="237" t="s">
        <v>491</v>
      </c>
      <c r="D8" s="610"/>
      <c r="E8" s="611"/>
      <c r="F8" s="613"/>
      <c r="G8" s="614"/>
      <c r="H8" s="610"/>
      <c r="I8" s="611"/>
      <c r="J8" s="250"/>
      <c r="K8" s="250"/>
      <c r="L8" s="247"/>
      <c r="S8" s="251">
        <v>1</v>
      </c>
      <c r="T8" s="252"/>
      <c r="U8" s="252"/>
      <c r="V8" s="252"/>
      <c r="W8" s="253"/>
      <c r="Z8" s="254">
        <v>1</v>
      </c>
      <c r="AA8" s="255"/>
      <c r="AB8" s="255">
        <v>0</v>
      </c>
      <c r="AC8" s="255"/>
      <c r="AD8" s="256"/>
      <c r="AG8" s="257">
        <v>1</v>
      </c>
      <c r="AH8" s="258" t="s">
        <v>492</v>
      </c>
      <c r="AI8" s="259">
        <v>0.45</v>
      </c>
      <c r="AJ8" s="259"/>
      <c r="AK8" s="260"/>
      <c r="AN8" s="432">
        <v>1</v>
      </c>
      <c r="AO8" s="433" t="s">
        <v>588</v>
      </c>
      <c r="AP8" s="434">
        <v>1</v>
      </c>
      <c r="AQ8" s="435"/>
      <c r="AR8" s="436">
        <v>2</v>
      </c>
      <c r="AT8" s="481">
        <v>1</v>
      </c>
      <c r="AU8" s="470"/>
      <c r="AV8" s="471"/>
      <c r="AW8" s="478"/>
    </row>
    <row r="9" spans="1:49" ht="13.5" thickBot="1">
      <c r="A9" s="233" t="s">
        <v>493</v>
      </c>
      <c r="B9" s="261"/>
      <c r="C9" s="249"/>
      <c r="D9" s="249" t="s">
        <v>494</v>
      </c>
      <c r="E9" s="249" t="s">
        <v>495</v>
      </c>
      <c r="F9" s="262" t="s">
        <v>496</v>
      </c>
      <c r="G9" s="263" t="s">
        <v>497</v>
      </c>
      <c r="H9" s="249" t="s">
        <v>494</v>
      </c>
      <c r="I9" s="249" t="s">
        <v>495</v>
      </c>
      <c r="J9" s="264"/>
      <c r="K9" s="264"/>
      <c r="L9" s="247"/>
      <c r="S9" s="265">
        <v>2</v>
      </c>
      <c r="T9" s="266"/>
      <c r="U9" s="266"/>
      <c r="V9" s="266"/>
      <c r="W9" s="267"/>
      <c r="Z9" s="268">
        <v>2</v>
      </c>
      <c r="AA9" s="269"/>
      <c r="AB9" s="269">
        <v>0</v>
      </c>
      <c r="AC9" s="269"/>
      <c r="AD9" s="270"/>
      <c r="AG9" s="271">
        <v>2</v>
      </c>
      <c r="AH9" s="258" t="s">
        <v>498</v>
      </c>
      <c r="AI9" s="272">
        <v>0.45</v>
      </c>
      <c r="AJ9" s="272"/>
      <c r="AK9" s="273"/>
      <c r="AN9" s="437">
        <v>2</v>
      </c>
      <c r="AO9" s="433" t="s">
        <v>589</v>
      </c>
      <c r="AP9" s="438">
        <v>1</v>
      </c>
      <c r="AQ9" s="439"/>
      <c r="AR9" s="440">
        <v>2</v>
      </c>
      <c r="AT9" s="457">
        <v>2</v>
      </c>
      <c r="AU9" s="472"/>
      <c r="AV9" s="473"/>
      <c r="AW9" s="479"/>
    </row>
    <row r="10" spans="1:49" ht="12.75">
      <c r="A10" s="233"/>
      <c r="B10" s="247">
        <v>1</v>
      </c>
      <c r="C10" s="237">
        <v>0</v>
      </c>
      <c r="D10" s="237">
        <v>0</v>
      </c>
      <c r="E10" s="237">
        <v>0</v>
      </c>
      <c r="F10" s="237">
        <v>0</v>
      </c>
      <c r="G10" s="237">
        <v>0</v>
      </c>
      <c r="H10" s="237">
        <v>0</v>
      </c>
      <c r="I10" s="237">
        <v>0</v>
      </c>
      <c r="J10" s="237">
        <v>0</v>
      </c>
      <c r="K10" s="237">
        <v>0</v>
      </c>
      <c r="L10" s="236">
        <v>0</v>
      </c>
      <c r="S10" s="265">
        <v>3</v>
      </c>
      <c r="T10" s="266"/>
      <c r="U10" s="266"/>
      <c r="V10" s="266"/>
      <c r="W10" s="267"/>
      <c r="Z10" s="268">
        <v>3</v>
      </c>
      <c r="AA10" s="269"/>
      <c r="AB10" s="269">
        <v>0</v>
      </c>
      <c r="AC10" s="269"/>
      <c r="AD10" s="270"/>
      <c r="AG10" s="271">
        <v>3</v>
      </c>
      <c r="AH10" s="272"/>
      <c r="AI10" s="272">
        <v>0.45</v>
      </c>
      <c r="AJ10" s="272"/>
      <c r="AK10" s="273"/>
      <c r="AN10" s="437">
        <v>3</v>
      </c>
      <c r="AO10" s="439"/>
      <c r="AP10" s="438">
        <v>1</v>
      </c>
      <c r="AQ10" s="439"/>
      <c r="AR10" s="440">
        <v>2</v>
      </c>
      <c r="AT10" s="457">
        <v>3</v>
      </c>
      <c r="AU10" s="472"/>
      <c r="AV10" s="473"/>
      <c r="AW10" s="479"/>
    </row>
    <row r="11" spans="1:49" ht="13.5" thickBot="1">
      <c r="A11" s="233"/>
      <c r="B11" s="247">
        <v>2</v>
      </c>
      <c r="C11" s="237">
        <v>0</v>
      </c>
      <c r="D11" s="237">
        <v>0</v>
      </c>
      <c r="E11" s="237">
        <v>0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236">
        <v>0</v>
      </c>
      <c r="S11" s="274">
        <v>4</v>
      </c>
      <c r="T11" s="275"/>
      <c r="U11" s="275"/>
      <c r="V11" s="275"/>
      <c r="W11" s="276"/>
      <c r="Z11" s="277">
        <v>4</v>
      </c>
      <c r="AA11" s="278"/>
      <c r="AB11" s="278">
        <v>0</v>
      </c>
      <c r="AC11" s="278"/>
      <c r="AD11" s="279"/>
      <c r="AG11" s="271">
        <v>4</v>
      </c>
      <c r="AH11" s="272"/>
      <c r="AI11" s="272">
        <v>0.45</v>
      </c>
      <c r="AJ11" s="272"/>
      <c r="AK11" s="273"/>
      <c r="AN11" s="437">
        <v>4</v>
      </c>
      <c r="AO11" s="439"/>
      <c r="AP11" s="438">
        <v>1</v>
      </c>
      <c r="AQ11" s="439"/>
      <c r="AR11" s="440">
        <v>2</v>
      </c>
      <c r="AT11" s="457">
        <v>4</v>
      </c>
      <c r="AU11" s="458"/>
      <c r="AV11" s="459"/>
      <c r="AW11" s="480"/>
    </row>
    <row r="12" spans="1:49" ht="12.75">
      <c r="A12" s="233"/>
      <c r="B12" s="247">
        <v>3</v>
      </c>
      <c r="C12" s="237">
        <v>0</v>
      </c>
      <c r="D12" s="237">
        <v>0</v>
      </c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  <c r="K12" s="237">
        <v>0</v>
      </c>
      <c r="L12" s="236">
        <v>0</v>
      </c>
      <c r="S12" s="280">
        <v>5</v>
      </c>
      <c r="T12" s="281" t="s">
        <v>499</v>
      </c>
      <c r="U12" s="282">
        <v>0.5</v>
      </c>
      <c r="V12" s="252">
        <v>0.5</v>
      </c>
      <c r="W12" s="253">
        <v>0.5</v>
      </c>
      <c r="Z12" s="283">
        <v>5</v>
      </c>
      <c r="AA12" s="284" t="s">
        <v>492</v>
      </c>
      <c r="AB12" s="25">
        <v>2.27</v>
      </c>
      <c r="AC12" s="255"/>
      <c r="AD12" s="256"/>
      <c r="AG12" s="285">
        <v>5</v>
      </c>
      <c r="AH12" s="241"/>
      <c r="AI12" s="272">
        <v>0.45</v>
      </c>
      <c r="AJ12" s="272"/>
      <c r="AK12" s="273"/>
      <c r="AN12" s="441">
        <v>5</v>
      </c>
      <c r="AO12" s="187"/>
      <c r="AP12" s="438">
        <v>1</v>
      </c>
      <c r="AQ12" s="439"/>
      <c r="AR12" s="440">
        <v>2</v>
      </c>
      <c r="AT12" s="460">
        <v>5</v>
      </c>
      <c r="AU12" s="470" t="s">
        <v>593</v>
      </c>
      <c r="AV12" s="471">
        <v>1</v>
      </c>
      <c r="AW12" s="478">
        <v>2</v>
      </c>
    </row>
    <row r="13" spans="1:49" ht="12.75">
      <c r="A13" s="233"/>
      <c r="B13" s="247">
        <v>4</v>
      </c>
      <c r="C13" s="237">
        <v>0</v>
      </c>
      <c r="D13" s="237">
        <v>0</v>
      </c>
      <c r="E13" s="237">
        <v>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236">
        <v>0</v>
      </c>
      <c r="S13" s="265">
        <v>6</v>
      </c>
      <c r="T13" s="286" t="s">
        <v>492</v>
      </c>
      <c r="U13" s="143"/>
      <c r="V13" s="266">
        <v>0.5</v>
      </c>
      <c r="W13" s="267">
        <v>0.5</v>
      </c>
      <c r="Z13" s="268">
        <v>6</v>
      </c>
      <c r="AA13" s="284" t="s">
        <v>498</v>
      </c>
      <c r="AB13" s="25">
        <v>2.27</v>
      </c>
      <c r="AC13" s="269"/>
      <c r="AD13" s="270"/>
      <c r="AG13" s="271">
        <v>6</v>
      </c>
      <c r="AH13" s="241"/>
      <c r="AI13" s="272">
        <v>0.45</v>
      </c>
      <c r="AJ13" s="272"/>
      <c r="AK13" s="273"/>
      <c r="AN13" s="437">
        <v>6</v>
      </c>
      <c r="AO13" s="187"/>
      <c r="AP13" s="438">
        <v>1</v>
      </c>
      <c r="AQ13" s="439"/>
      <c r="AR13" s="440">
        <v>2</v>
      </c>
      <c r="AT13" s="460">
        <v>6</v>
      </c>
      <c r="AU13" s="472"/>
      <c r="AV13" s="473">
        <v>1</v>
      </c>
      <c r="AW13" s="479">
        <v>2</v>
      </c>
    </row>
    <row r="14" spans="1:49" ht="12.75">
      <c r="A14" s="233">
        <v>1</v>
      </c>
      <c r="B14" s="287">
        <v>5</v>
      </c>
      <c r="C14" s="288">
        <v>200</v>
      </c>
      <c r="D14" s="288">
        <v>100</v>
      </c>
      <c r="E14" s="288">
        <v>67</v>
      </c>
      <c r="F14" s="289">
        <f>C14*0.25</f>
        <v>50</v>
      </c>
      <c r="G14" s="290">
        <f>C14*0.2</f>
        <v>40</v>
      </c>
      <c r="H14" s="290">
        <v>25</v>
      </c>
      <c r="I14" s="290">
        <v>17</v>
      </c>
      <c r="J14" s="288">
        <v>0.0012</v>
      </c>
      <c r="K14" s="288">
        <v>1.5</v>
      </c>
      <c r="L14" s="290">
        <v>0.75</v>
      </c>
      <c r="M14">
        <f>C14*0.2</f>
        <v>40</v>
      </c>
      <c r="N14" s="291">
        <f>C14*0.25</f>
        <v>50</v>
      </c>
      <c r="O14" s="291">
        <f>N14/2</f>
        <v>25</v>
      </c>
      <c r="P14" s="291">
        <f>N14/3</f>
        <v>16.666666666666668</v>
      </c>
      <c r="S14" s="265">
        <v>7</v>
      </c>
      <c r="T14" s="286" t="s">
        <v>498</v>
      </c>
      <c r="U14" s="266"/>
      <c r="V14" s="266">
        <v>0.5</v>
      </c>
      <c r="W14" s="267">
        <v>0.5</v>
      </c>
      <c r="Z14" s="268">
        <v>7</v>
      </c>
      <c r="AA14" s="25"/>
      <c r="AB14" s="25">
        <v>2.27</v>
      </c>
      <c r="AC14" s="269"/>
      <c r="AD14" s="270"/>
      <c r="AG14" s="271">
        <v>7</v>
      </c>
      <c r="AH14" s="241"/>
      <c r="AI14" s="272">
        <v>0.45</v>
      </c>
      <c r="AJ14" s="272"/>
      <c r="AK14" s="273"/>
      <c r="AN14" s="437">
        <v>7</v>
      </c>
      <c r="AO14" s="187"/>
      <c r="AP14" s="438">
        <v>1</v>
      </c>
      <c r="AQ14" s="439"/>
      <c r="AR14" s="440">
        <v>2</v>
      </c>
      <c r="AT14" s="460">
        <v>7</v>
      </c>
      <c r="AU14" s="472"/>
      <c r="AV14" s="473">
        <v>1</v>
      </c>
      <c r="AW14" s="479">
        <v>2</v>
      </c>
    </row>
    <row r="15" spans="1:49" ht="12.75">
      <c r="A15" s="233">
        <v>1</v>
      </c>
      <c r="B15" s="287">
        <v>6</v>
      </c>
      <c r="C15" s="288">
        <v>200</v>
      </c>
      <c r="D15" s="288">
        <v>100</v>
      </c>
      <c r="E15" s="288">
        <v>67</v>
      </c>
      <c r="F15" s="289">
        <f aca="true" t="shared" si="0" ref="F15:F69">C15*0.25</f>
        <v>50</v>
      </c>
      <c r="G15" s="290">
        <f aca="true" t="shared" si="1" ref="G15:G69">C15*0.2</f>
        <v>40</v>
      </c>
      <c r="H15" s="290">
        <v>25</v>
      </c>
      <c r="I15" s="290">
        <v>17</v>
      </c>
      <c r="J15" s="288">
        <v>0.0012</v>
      </c>
      <c r="K15" s="288">
        <v>1.5</v>
      </c>
      <c r="L15" s="290">
        <v>0.75</v>
      </c>
      <c r="M15">
        <f aca="true" t="shared" si="2" ref="M15:M78">C15*0.2</f>
        <v>40</v>
      </c>
      <c r="N15" s="291">
        <f aca="true" t="shared" si="3" ref="N15:N78">C15*0.25</f>
        <v>50</v>
      </c>
      <c r="O15" s="291">
        <f aca="true" t="shared" si="4" ref="O15:O78">N15/2</f>
        <v>25</v>
      </c>
      <c r="P15" s="291">
        <f aca="true" t="shared" si="5" ref="P15:P78">N15/3</f>
        <v>16.666666666666668</v>
      </c>
      <c r="S15" s="265">
        <v>8</v>
      </c>
      <c r="T15" s="266"/>
      <c r="U15" s="266"/>
      <c r="V15" s="266">
        <v>0.5</v>
      </c>
      <c r="W15" s="267">
        <v>0.5</v>
      </c>
      <c r="Z15" s="268">
        <v>8</v>
      </c>
      <c r="AA15" s="269"/>
      <c r="AB15" s="25">
        <v>2.27</v>
      </c>
      <c r="AC15" s="269"/>
      <c r="AD15" s="270"/>
      <c r="AG15" s="271">
        <v>8</v>
      </c>
      <c r="AH15" s="272"/>
      <c r="AI15" s="272">
        <v>0.45</v>
      </c>
      <c r="AJ15" s="272"/>
      <c r="AK15" s="273"/>
      <c r="AN15" s="437">
        <v>8</v>
      </c>
      <c r="AO15" s="439"/>
      <c r="AP15" s="438">
        <v>1</v>
      </c>
      <c r="AQ15" s="439"/>
      <c r="AR15" s="440">
        <v>2</v>
      </c>
      <c r="AT15" s="460">
        <v>8</v>
      </c>
      <c r="AU15" s="472"/>
      <c r="AV15" s="473">
        <v>1</v>
      </c>
      <c r="AW15" s="479">
        <v>2</v>
      </c>
    </row>
    <row r="16" spans="1:49" ht="12.75">
      <c r="A16" s="233">
        <v>1</v>
      </c>
      <c r="B16" s="287">
        <v>7</v>
      </c>
      <c r="C16" s="288">
        <v>200</v>
      </c>
      <c r="D16" s="288">
        <v>100</v>
      </c>
      <c r="E16" s="288">
        <v>67</v>
      </c>
      <c r="F16" s="289">
        <f t="shared" si="0"/>
        <v>50</v>
      </c>
      <c r="G16" s="290">
        <f t="shared" si="1"/>
        <v>40</v>
      </c>
      <c r="H16" s="290">
        <v>25</v>
      </c>
      <c r="I16" s="290">
        <v>17</v>
      </c>
      <c r="J16" s="288">
        <v>0.0012</v>
      </c>
      <c r="K16" s="288">
        <v>1.5</v>
      </c>
      <c r="L16" s="290">
        <v>0.75</v>
      </c>
      <c r="M16">
        <f t="shared" si="2"/>
        <v>40</v>
      </c>
      <c r="N16" s="291">
        <f t="shared" si="3"/>
        <v>50</v>
      </c>
      <c r="O16" s="291">
        <f t="shared" si="4"/>
        <v>25</v>
      </c>
      <c r="P16" s="291">
        <f t="shared" si="5"/>
        <v>16.666666666666668</v>
      </c>
      <c r="S16" s="265">
        <v>9</v>
      </c>
      <c r="T16" s="266"/>
      <c r="U16" s="266"/>
      <c r="V16" s="266">
        <v>0.5</v>
      </c>
      <c r="W16" s="267">
        <v>0.5</v>
      </c>
      <c r="Z16" s="268">
        <v>9</v>
      </c>
      <c r="AA16" s="269"/>
      <c r="AB16" s="25">
        <v>2.27</v>
      </c>
      <c r="AC16" s="269"/>
      <c r="AD16" s="270"/>
      <c r="AG16" s="271">
        <v>9</v>
      </c>
      <c r="AH16" s="272"/>
      <c r="AI16" s="272">
        <v>0.45</v>
      </c>
      <c r="AJ16" s="272"/>
      <c r="AK16" s="273"/>
      <c r="AN16" s="437">
        <v>9</v>
      </c>
      <c r="AO16" s="439"/>
      <c r="AP16" s="438">
        <v>1</v>
      </c>
      <c r="AQ16" s="439"/>
      <c r="AR16" s="440">
        <v>2</v>
      </c>
      <c r="AT16" s="460">
        <v>9</v>
      </c>
      <c r="AU16" s="485"/>
      <c r="AV16" s="486">
        <v>1</v>
      </c>
      <c r="AW16" s="487">
        <v>2</v>
      </c>
    </row>
    <row r="17" spans="1:49" ht="12.75">
      <c r="A17" s="233">
        <v>1</v>
      </c>
      <c r="B17" s="287">
        <v>8</v>
      </c>
      <c r="C17" s="288">
        <v>200</v>
      </c>
      <c r="D17" s="288">
        <v>100</v>
      </c>
      <c r="E17" s="288">
        <v>67</v>
      </c>
      <c r="F17" s="289">
        <f t="shared" si="0"/>
        <v>50</v>
      </c>
      <c r="G17" s="290">
        <f t="shared" si="1"/>
        <v>40</v>
      </c>
      <c r="H17" s="290">
        <v>25</v>
      </c>
      <c r="I17" s="290">
        <v>17</v>
      </c>
      <c r="J17" s="288">
        <v>0.0012</v>
      </c>
      <c r="K17" s="288">
        <v>1.5</v>
      </c>
      <c r="L17" s="290">
        <v>0.75</v>
      </c>
      <c r="M17">
        <f t="shared" si="2"/>
        <v>40</v>
      </c>
      <c r="N17" s="291">
        <f t="shared" si="3"/>
        <v>50</v>
      </c>
      <c r="O17" s="291">
        <f t="shared" si="4"/>
        <v>25</v>
      </c>
      <c r="P17" s="291">
        <f t="shared" si="5"/>
        <v>16.666666666666668</v>
      </c>
      <c r="S17" s="265">
        <v>10</v>
      </c>
      <c r="T17" s="266"/>
      <c r="U17" s="266"/>
      <c r="V17" s="266">
        <v>0.5</v>
      </c>
      <c r="W17" s="267">
        <v>0.5</v>
      </c>
      <c r="Z17" s="268">
        <v>10</v>
      </c>
      <c r="AA17" s="269"/>
      <c r="AB17" s="25">
        <v>2.27</v>
      </c>
      <c r="AC17" s="269"/>
      <c r="AD17" s="270"/>
      <c r="AG17" s="271">
        <v>10</v>
      </c>
      <c r="AH17" s="272"/>
      <c r="AI17" s="272">
        <v>0.45</v>
      </c>
      <c r="AJ17" s="272"/>
      <c r="AK17" s="273"/>
      <c r="AN17" s="447">
        <v>10</v>
      </c>
      <c r="AO17" s="448"/>
      <c r="AP17" s="449">
        <v>1</v>
      </c>
      <c r="AQ17" s="448"/>
      <c r="AR17" s="450">
        <v>2</v>
      </c>
      <c r="AT17" s="460">
        <v>10</v>
      </c>
      <c r="AU17" s="472"/>
      <c r="AV17" s="473">
        <v>0.8</v>
      </c>
      <c r="AW17" s="479">
        <v>1.6</v>
      </c>
    </row>
    <row r="18" spans="1:49" ht="12.75">
      <c r="A18" s="233">
        <v>1</v>
      </c>
      <c r="B18" s="287">
        <v>9</v>
      </c>
      <c r="C18" s="288">
        <v>200</v>
      </c>
      <c r="D18" s="288">
        <v>100</v>
      </c>
      <c r="E18" s="288">
        <v>67</v>
      </c>
      <c r="F18" s="289">
        <f t="shared" si="0"/>
        <v>50</v>
      </c>
      <c r="G18" s="290">
        <f t="shared" si="1"/>
        <v>40</v>
      </c>
      <c r="H18" s="290">
        <v>25</v>
      </c>
      <c r="I18" s="290">
        <v>17</v>
      </c>
      <c r="J18" s="288">
        <v>0.0012</v>
      </c>
      <c r="K18" s="288">
        <v>1.5</v>
      </c>
      <c r="L18" s="290">
        <v>0.75</v>
      </c>
      <c r="M18">
        <f t="shared" si="2"/>
        <v>40</v>
      </c>
      <c r="N18" s="291">
        <f t="shared" si="3"/>
        <v>50</v>
      </c>
      <c r="O18" s="291">
        <f t="shared" si="4"/>
        <v>25</v>
      </c>
      <c r="P18" s="291">
        <f t="shared" si="5"/>
        <v>16.666666666666668</v>
      </c>
      <c r="S18" s="265">
        <v>11</v>
      </c>
      <c r="T18" s="266"/>
      <c r="U18" s="266"/>
      <c r="V18" s="266">
        <v>0.5</v>
      </c>
      <c r="W18" s="267">
        <v>0.5</v>
      </c>
      <c r="Z18" s="268">
        <v>11</v>
      </c>
      <c r="AA18" s="269"/>
      <c r="AB18" s="25">
        <v>2.27</v>
      </c>
      <c r="AC18" s="269"/>
      <c r="AD18" s="270"/>
      <c r="AG18" s="271">
        <v>11</v>
      </c>
      <c r="AH18" s="272"/>
      <c r="AI18" s="272">
        <v>0.45</v>
      </c>
      <c r="AJ18" s="272"/>
      <c r="AK18" s="273"/>
      <c r="AN18" s="437">
        <v>11</v>
      </c>
      <c r="AO18" s="433" t="s">
        <v>592</v>
      </c>
      <c r="AP18" s="438">
        <v>0.8</v>
      </c>
      <c r="AQ18" s="439"/>
      <c r="AR18" s="440">
        <v>1.5</v>
      </c>
      <c r="AT18" s="460">
        <v>11</v>
      </c>
      <c r="AU18" s="472"/>
      <c r="AV18" s="473">
        <v>0.8</v>
      </c>
      <c r="AW18" s="479">
        <v>1.6</v>
      </c>
    </row>
    <row r="19" spans="1:49" ht="12.75">
      <c r="A19" s="233">
        <v>1</v>
      </c>
      <c r="B19" s="287">
        <v>10</v>
      </c>
      <c r="C19" s="288">
        <v>200</v>
      </c>
      <c r="D19" s="288">
        <v>100</v>
      </c>
      <c r="E19" s="288">
        <v>67</v>
      </c>
      <c r="F19" s="289">
        <f t="shared" si="0"/>
        <v>50</v>
      </c>
      <c r="G19" s="290">
        <f t="shared" si="1"/>
        <v>40</v>
      </c>
      <c r="H19" s="290">
        <v>25</v>
      </c>
      <c r="I19" s="290">
        <v>17</v>
      </c>
      <c r="J19" s="288">
        <v>0.0012</v>
      </c>
      <c r="K19" s="288">
        <v>1.5</v>
      </c>
      <c r="L19" s="290">
        <v>0.75</v>
      </c>
      <c r="M19">
        <f t="shared" si="2"/>
        <v>40</v>
      </c>
      <c r="N19" s="291">
        <f t="shared" si="3"/>
        <v>50</v>
      </c>
      <c r="O19" s="291">
        <f t="shared" si="4"/>
        <v>25</v>
      </c>
      <c r="P19" s="291">
        <f t="shared" si="5"/>
        <v>16.666666666666668</v>
      </c>
      <c r="S19" s="265">
        <v>12</v>
      </c>
      <c r="T19" s="266"/>
      <c r="U19" s="266"/>
      <c r="V19" s="266">
        <v>0.5</v>
      </c>
      <c r="W19" s="267">
        <v>0.5</v>
      </c>
      <c r="Z19" s="268">
        <v>12</v>
      </c>
      <c r="AA19" s="269"/>
      <c r="AB19" s="25">
        <v>2.27</v>
      </c>
      <c r="AC19" s="269"/>
      <c r="AD19" s="270"/>
      <c r="AG19" s="271">
        <v>12</v>
      </c>
      <c r="AH19" s="272"/>
      <c r="AI19" s="272">
        <v>0.45</v>
      </c>
      <c r="AJ19" s="272"/>
      <c r="AK19" s="273"/>
      <c r="AN19" s="437">
        <v>12</v>
      </c>
      <c r="AO19" s="439"/>
      <c r="AP19" s="438">
        <v>0.8</v>
      </c>
      <c r="AQ19" s="439"/>
      <c r="AR19" s="440">
        <v>1.5</v>
      </c>
      <c r="AT19" s="460">
        <v>12</v>
      </c>
      <c r="AU19" s="472"/>
      <c r="AV19" s="473">
        <v>0.8</v>
      </c>
      <c r="AW19" s="479">
        <v>1.6</v>
      </c>
    </row>
    <row r="20" spans="1:49" ht="12.75">
      <c r="A20" s="233">
        <v>1</v>
      </c>
      <c r="B20" s="287">
        <v>11</v>
      </c>
      <c r="C20" s="288">
        <v>200</v>
      </c>
      <c r="D20" s="288">
        <v>100</v>
      </c>
      <c r="E20" s="288">
        <v>67</v>
      </c>
      <c r="F20" s="289">
        <f t="shared" si="0"/>
        <v>50</v>
      </c>
      <c r="G20" s="290">
        <f t="shared" si="1"/>
        <v>40</v>
      </c>
      <c r="H20" s="290">
        <v>25</v>
      </c>
      <c r="I20" s="290">
        <v>17</v>
      </c>
      <c r="J20" s="288">
        <v>0.0012</v>
      </c>
      <c r="K20" s="288">
        <v>1.5</v>
      </c>
      <c r="L20" s="290">
        <v>0.75</v>
      </c>
      <c r="M20">
        <f t="shared" si="2"/>
        <v>40</v>
      </c>
      <c r="N20" s="291">
        <f t="shared" si="3"/>
        <v>50</v>
      </c>
      <c r="O20" s="291">
        <f t="shared" si="4"/>
        <v>25</v>
      </c>
      <c r="P20" s="291">
        <f t="shared" si="5"/>
        <v>16.666666666666668</v>
      </c>
      <c r="S20" s="265">
        <v>13</v>
      </c>
      <c r="T20" s="266"/>
      <c r="U20" s="266"/>
      <c r="V20" s="266">
        <v>0.5</v>
      </c>
      <c r="W20" s="267">
        <v>0.5</v>
      </c>
      <c r="Z20" s="268">
        <v>13</v>
      </c>
      <c r="AA20" s="269"/>
      <c r="AB20" s="25">
        <v>2.27</v>
      </c>
      <c r="AC20" s="269"/>
      <c r="AD20" s="270"/>
      <c r="AG20" s="271">
        <v>13</v>
      </c>
      <c r="AH20" s="272"/>
      <c r="AI20" s="272">
        <v>0.45</v>
      </c>
      <c r="AJ20" s="272"/>
      <c r="AK20" s="273"/>
      <c r="AN20" s="437">
        <v>13</v>
      </c>
      <c r="AO20" s="439"/>
      <c r="AP20" s="438">
        <v>0.8</v>
      </c>
      <c r="AQ20" s="439"/>
      <c r="AR20" s="440">
        <v>1.5</v>
      </c>
      <c r="AT20" s="460">
        <v>13</v>
      </c>
      <c r="AU20" s="472"/>
      <c r="AV20" s="473">
        <v>0.8</v>
      </c>
      <c r="AW20" s="479">
        <v>1.6</v>
      </c>
    </row>
    <row r="21" spans="1:49" ht="12.75">
      <c r="A21" s="233">
        <v>1</v>
      </c>
      <c r="B21" s="287">
        <v>12</v>
      </c>
      <c r="C21" s="288">
        <v>200</v>
      </c>
      <c r="D21" s="288">
        <v>100</v>
      </c>
      <c r="E21" s="288">
        <v>67</v>
      </c>
      <c r="F21" s="289">
        <f t="shared" si="0"/>
        <v>50</v>
      </c>
      <c r="G21" s="290">
        <f t="shared" si="1"/>
        <v>40</v>
      </c>
      <c r="H21" s="290">
        <v>25</v>
      </c>
      <c r="I21" s="290">
        <v>17</v>
      </c>
      <c r="J21" s="288">
        <v>0.0012</v>
      </c>
      <c r="K21" s="288">
        <v>1.5</v>
      </c>
      <c r="L21" s="290">
        <v>0.75</v>
      </c>
      <c r="M21">
        <f t="shared" si="2"/>
        <v>40</v>
      </c>
      <c r="N21" s="291">
        <f t="shared" si="3"/>
        <v>50</v>
      </c>
      <c r="O21" s="291">
        <f t="shared" si="4"/>
        <v>25</v>
      </c>
      <c r="P21" s="291">
        <f t="shared" si="5"/>
        <v>16.666666666666668</v>
      </c>
      <c r="S21" s="265">
        <v>14</v>
      </c>
      <c r="T21" s="266"/>
      <c r="U21" s="266"/>
      <c r="V21" s="266">
        <v>0.5</v>
      </c>
      <c r="W21" s="267">
        <v>0.5</v>
      </c>
      <c r="Z21" s="268">
        <v>14</v>
      </c>
      <c r="AA21" s="269"/>
      <c r="AB21" s="25">
        <v>2.27</v>
      </c>
      <c r="AC21" s="269"/>
      <c r="AD21" s="270"/>
      <c r="AG21" s="271">
        <v>14</v>
      </c>
      <c r="AH21" s="272"/>
      <c r="AI21" s="272">
        <v>0.45</v>
      </c>
      <c r="AJ21" s="272"/>
      <c r="AK21" s="273"/>
      <c r="AN21" s="437">
        <v>14</v>
      </c>
      <c r="AO21" s="439"/>
      <c r="AP21" s="438">
        <v>0.8</v>
      </c>
      <c r="AQ21" s="439"/>
      <c r="AR21" s="440">
        <v>1.5</v>
      </c>
      <c r="AT21" s="460">
        <v>14</v>
      </c>
      <c r="AU21" s="472"/>
      <c r="AV21" s="473">
        <v>0.8</v>
      </c>
      <c r="AW21" s="479">
        <v>1.6</v>
      </c>
    </row>
    <row r="22" spans="1:49" ht="13.5" thickBot="1">
      <c r="A22" s="233">
        <v>1</v>
      </c>
      <c r="B22" s="287">
        <v>13</v>
      </c>
      <c r="C22" s="288">
        <v>200</v>
      </c>
      <c r="D22" s="288">
        <v>100</v>
      </c>
      <c r="E22" s="288">
        <v>67</v>
      </c>
      <c r="F22" s="289">
        <f t="shared" si="0"/>
        <v>50</v>
      </c>
      <c r="G22" s="290">
        <f t="shared" si="1"/>
        <v>40</v>
      </c>
      <c r="H22" s="290">
        <v>25</v>
      </c>
      <c r="I22" s="290">
        <v>17</v>
      </c>
      <c r="J22" s="288">
        <v>0.0012</v>
      </c>
      <c r="K22" s="288">
        <v>1.5</v>
      </c>
      <c r="L22" s="290">
        <v>0.75</v>
      </c>
      <c r="M22">
        <f t="shared" si="2"/>
        <v>40</v>
      </c>
      <c r="N22" s="291">
        <f t="shared" si="3"/>
        <v>50</v>
      </c>
      <c r="O22" s="291">
        <f t="shared" si="4"/>
        <v>25</v>
      </c>
      <c r="P22" s="291">
        <f t="shared" si="5"/>
        <v>16.666666666666668</v>
      </c>
      <c r="S22" s="274">
        <v>15</v>
      </c>
      <c r="T22" s="275"/>
      <c r="U22" s="275"/>
      <c r="V22" s="275">
        <v>0.5</v>
      </c>
      <c r="W22" s="276">
        <v>0.5</v>
      </c>
      <c r="Z22" s="268">
        <v>15</v>
      </c>
      <c r="AA22" s="269"/>
      <c r="AB22" s="25">
        <v>2.27</v>
      </c>
      <c r="AC22" s="269"/>
      <c r="AD22" s="270"/>
      <c r="AG22" s="271">
        <v>15</v>
      </c>
      <c r="AH22" s="272"/>
      <c r="AI22" s="272">
        <v>0.45</v>
      </c>
      <c r="AJ22" s="272"/>
      <c r="AK22" s="273"/>
      <c r="AN22" s="437">
        <v>15</v>
      </c>
      <c r="AO22" s="439"/>
      <c r="AP22" s="438">
        <v>0.8</v>
      </c>
      <c r="AQ22" s="439"/>
      <c r="AR22" s="440">
        <v>1.5</v>
      </c>
      <c r="AT22" s="460">
        <v>15</v>
      </c>
      <c r="AU22" s="458"/>
      <c r="AV22" s="459">
        <v>0.8</v>
      </c>
      <c r="AW22" s="480">
        <v>1.6</v>
      </c>
    </row>
    <row r="23" spans="1:49" ht="12.75">
      <c r="A23" s="233">
        <v>1</v>
      </c>
      <c r="B23" s="287">
        <v>14</v>
      </c>
      <c r="C23" s="288">
        <v>200</v>
      </c>
      <c r="D23" s="288">
        <v>100</v>
      </c>
      <c r="E23" s="288">
        <v>67</v>
      </c>
      <c r="F23" s="289">
        <f t="shared" si="0"/>
        <v>50</v>
      </c>
      <c r="G23" s="290">
        <f t="shared" si="1"/>
        <v>40</v>
      </c>
      <c r="H23" s="290">
        <v>25</v>
      </c>
      <c r="I23" s="290">
        <v>17</v>
      </c>
      <c r="J23" s="288">
        <v>0.0012</v>
      </c>
      <c r="K23" s="288">
        <v>1.5</v>
      </c>
      <c r="L23" s="290">
        <v>0.75</v>
      </c>
      <c r="M23">
        <f t="shared" si="2"/>
        <v>40</v>
      </c>
      <c r="N23" s="291">
        <f t="shared" si="3"/>
        <v>50</v>
      </c>
      <c r="O23" s="291">
        <f t="shared" si="4"/>
        <v>25</v>
      </c>
      <c r="P23" s="291">
        <f t="shared" si="5"/>
        <v>16.666666666666668</v>
      </c>
      <c r="S23" s="280">
        <v>16</v>
      </c>
      <c r="T23" s="281" t="s">
        <v>500</v>
      </c>
      <c r="U23" s="292">
        <v>0.4</v>
      </c>
      <c r="V23" s="252">
        <v>0.4</v>
      </c>
      <c r="W23" s="253">
        <v>0.6</v>
      </c>
      <c r="Z23" s="293">
        <v>16</v>
      </c>
      <c r="AA23" s="284"/>
      <c r="AB23" s="25">
        <v>2.27</v>
      </c>
      <c r="AC23" s="269"/>
      <c r="AD23" s="270"/>
      <c r="AG23" s="294">
        <v>16</v>
      </c>
      <c r="AH23" s="258"/>
      <c r="AI23" s="272">
        <v>0.45</v>
      </c>
      <c r="AJ23" s="272"/>
      <c r="AK23" s="273"/>
      <c r="AN23" s="442">
        <v>16</v>
      </c>
      <c r="AO23" s="433"/>
      <c r="AP23" s="438">
        <v>0.8</v>
      </c>
      <c r="AQ23" s="439"/>
      <c r="AR23" s="440">
        <v>1.5</v>
      </c>
      <c r="AT23" s="457">
        <v>16</v>
      </c>
      <c r="AU23" s="474" t="s">
        <v>594</v>
      </c>
      <c r="AV23" s="475">
        <v>0.8</v>
      </c>
      <c r="AW23" s="461">
        <v>1.6</v>
      </c>
    </row>
    <row r="24" spans="1:49" ht="12.75">
      <c r="A24" s="233">
        <v>1</v>
      </c>
      <c r="B24" s="287">
        <v>15</v>
      </c>
      <c r="C24" s="288">
        <v>200</v>
      </c>
      <c r="D24" s="288">
        <v>100</v>
      </c>
      <c r="E24" s="288">
        <v>67</v>
      </c>
      <c r="F24" s="289">
        <f t="shared" si="0"/>
        <v>50</v>
      </c>
      <c r="G24" s="290">
        <f t="shared" si="1"/>
        <v>40</v>
      </c>
      <c r="H24" s="290">
        <v>25</v>
      </c>
      <c r="I24" s="290">
        <v>17</v>
      </c>
      <c r="J24" s="288">
        <v>0.0012</v>
      </c>
      <c r="K24" s="288">
        <v>1.5</v>
      </c>
      <c r="L24" s="290">
        <v>0.75</v>
      </c>
      <c r="M24">
        <f t="shared" si="2"/>
        <v>40</v>
      </c>
      <c r="N24" s="291">
        <f t="shared" si="3"/>
        <v>50</v>
      </c>
      <c r="O24" s="291">
        <f t="shared" si="4"/>
        <v>25</v>
      </c>
      <c r="P24" s="291">
        <f t="shared" si="5"/>
        <v>16.666666666666668</v>
      </c>
      <c r="S24" s="265">
        <v>17</v>
      </c>
      <c r="T24" s="286" t="s">
        <v>501</v>
      </c>
      <c r="U24" s="266"/>
      <c r="V24" s="266">
        <v>0.4</v>
      </c>
      <c r="W24" s="267">
        <v>0.6</v>
      </c>
      <c r="Z24" s="268">
        <v>17</v>
      </c>
      <c r="AA24" s="269"/>
      <c r="AB24" s="25">
        <v>2.27</v>
      </c>
      <c r="AC24" s="269"/>
      <c r="AD24" s="270"/>
      <c r="AG24" s="271">
        <v>17</v>
      </c>
      <c r="AH24" s="272"/>
      <c r="AI24" s="272">
        <v>0.45</v>
      </c>
      <c r="AJ24" s="272"/>
      <c r="AK24" s="273"/>
      <c r="AN24" s="437">
        <v>17</v>
      </c>
      <c r="AO24" s="439"/>
      <c r="AP24" s="438">
        <v>0.8</v>
      </c>
      <c r="AQ24" s="439"/>
      <c r="AR24" s="440">
        <v>1.5</v>
      </c>
      <c r="AT24" s="457">
        <v>17</v>
      </c>
      <c r="AU24" s="474"/>
      <c r="AV24" s="475">
        <v>0.8</v>
      </c>
      <c r="AW24" s="461">
        <v>1.6</v>
      </c>
    </row>
    <row r="25" spans="1:49" ht="12.75">
      <c r="A25" s="233">
        <v>2</v>
      </c>
      <c r="B25" s="247">
        <v>16</v>
      </c>
      <c r="C25" s="237">
        <v>250</v>
      </c>
      <c r="D25" s="237">
        <v>125</v>
      </c>
      <c r="E25" s="237">
        <v>83</v>
      </c>
      <c r="F25" s="295">
        <f t="shared" si="0"/>
        <v>62.5</v>
      </c>
      <c r="G25" s="236">
        <f t="shared" si="1"/>
        <v>50</v>
      </c>
      <c r="H25" s="236">
        <v>32</v>
      </c>
      <c r="I25" s="236">
        <v>21</v>
      </c>
      <c r="J25" s="237">
        <v>0.00096</v>
      </c>
      <c r="K25" s="237">
        <v>1</v>
      </c>
      <c r="L25" s="236">
        <v>0.6</v>
      </c>
      <c r="M25">
        <f t="shared" si="2"/>
        <v>50</v>
      </c>
      <c r="N25" s="291">
        <f t="shared" si="3"/>
        <v>62.5</v>
      </c>
      <c r="O25" s="291">
        <f t="shared" si="4"/>
        <v>31.25</v>
      </c>
      <c r="P25" s="291">
        <f t="shared" si="5"/>
        <v>20.833333333333332</v>
      </c>
      <c r="S25" s="265">
        <v>18</v>
      </c>
      <c r="T25" s="286" t="s">
        <v>502</v>
      </c>
      <c r="U25" s="266"/>
      <c r="V25" s="266">
        <v>0.4</v>
      </c>
      <c r="W25" s="267">
        <v>0.6</v>
      </c>
      <c r="Z25" s="268">
        <v>18</v>
      </c>
      <c r="AA25" s="25"/>
      <c r="AB25" s="25">
        <v>2.27</v>
      </c>
      <c r="AC25" s="269"/>
      <c r="AD25" s="270"/>
      <c r="AG25" s="271">
        <v>18</v>
      </c>
      <c r="AH25" s="241"/>
      <c r="AI25" s="272">
        <v>0.45</v>
      </c>
      <c r="AJ25" s="272"/>
      <c r="AK25" s="273"/>
      <c r="AN25" s="437">
        <v>18</v>
      </c>
      <c r="AO25" s="187"/>
      <c r="AP25" s="438">
        <v>0.8</v>
      </c>
      <c r="AQ25" s="439"/>
      <c r="AR25" s="440">
        <v>1.5</v>
      </c>
      <c r="AT25" s="457">
        <v>18</v>
      </c>
      <c r="AU25" s="474"/>
      <c r="AV25" s="475">
        <v>0.8</v>
      </c>
      <c r="AW25" s="461">
        <v>1.6</v>
      </c>
    </row>
    <row r="26" spans="1:49" ht="13.5" thickBot="1">
      <c r="A26" s="233">
        <v>2</v>
      </c>
      <c r="B26" s="247">
        <v>17</v>
      </c>
      <c r="C26" s="237">
        <v>250</v>
      </c>
      <c r="D26" s="237">
        <v>125</v>
      </c>
      <c r="E26" s="237">
        <v>83</v>
      </c>
      <c r="F26" s="295">
        <f t="shared" si="0"/>
        <v>62.5</v>
      </c>
      <c r="G26" s="236">
        <f t="shared" si="1"/>
        <v>50</v>
      </c>
      <c r="H26" s="236">
        <v>32</v>
      </c>
      <c r="I26" s="236">
        <v>21</v>
      </c>
      <c r="J26" s="237">
        <v>0.00096</v>
      </c>
      <c r="K26" s="237">
        <v>1</v>
      </c>
      <c r="L26" s="236">
        <v>0.6</v>
      </c>
      <c r="M26">
        <f t="shared" si="2"/>
        <v>50</v>
      </c>
      <c r="N26" s="291">
        <f t="shared" si="3"/>
        <v>62.5</v>
      </c>
      <c r="O26" s="291">
        <f t="shared" si="4"/>
        <v>31.25</v>
      </c>
      <c r="P26" s="291">
        <f t="shared" si="5"/>
        <v>20.833333333333332</v>
      </c>
      <c r="S26" s="265">
        <v>19</v>
      </c>
      <c r="T26" s="266"/>
      <c r="U26" s="266"/>
      <c r="V26" s="266">
        <v>0.4</v>
      </c>
      <c r="W26" s="267">
        <v>0.6</v>
      </c>
      <c r="Z26" s="268">
        <v>19</v>
      </c>
      <c r="AA26" s="269"/>
      <c r="AB26" s="25">
        <v>2.27</v>
      </c>
      <c r="AC26" s="269"/>
      <c r="AD26" s="270"/>
      <c r="AG26" s="271">
        <v>19</v>
      </c>
      <c r="AH26" s="272"/>
      <c r="AI26" s="272">
        <v>0.45</v>
      </c>
      <c r="AJ26" s="272"/>
      <c r="AK26" s="273"/>
      <c r="AN26" s="444">
        <v>19</v>
      </c>
      <c r="AO26" s="445"/>
      <c r="AP26" s="443">
        <v>0.8</v>
      </c>
      <c r="AQ26" s="445"/>
      <c r="AR26" s="446">
        <v>1.5</v>
      </c>
      <c r="AT26" s="457">
        <v>19</v>
      </c>
      <c r="AU26" s="476"/>
      <c r="AV26" s="475">
        <v>0.8</v>
      </c>
      <c r="AW26" s="461">
        <v>1.6</v>
      </c>
    </row>
    <row r="27" spans="1:49" ht="12.75">
      <c r="A27" s="233">
        <v>2</v>
      </c>
      <c r="B27" s="247">
        <v>18</v>
      </c>
      <c r="C27" s="237">
        <v>250</v>
      </c>
      <c r="D27" s="237">
        <v>125</v>
      </c>
      <c r="E27" s="237">
        <v>83</v>
      </c>
      <c r="F27" s="295">
        <f t="shared" si="0"/>
        <v>62.5</v>
      </c>
      <c r="G27" s="236">
        <f t="shared" si="1"/>
        <v>50</v>
      </c>
      <c r="H27" s="236">
        <v>32</v>
      </c>
      <c r="I27" s="236">
        <v>21</v>
      </c>
      <c r="J27" s="237">
        <v>0.00096</v>
      </c>
      <c r="K27" s="237">
        <v>1</v>
      </c>
      <c r="L27" s="236">
        <v>0.6</v>
      </c>
      <c r="M27">
        <f t="shared" si="2"/>
        <v>50</v>
      </c>
      <c r="N27" s="291">
        <f t="shared" si="3"/>
        <v>62.5</v>
      </c>
      <c r="O27" s="291">
        <f t="shared" si="4"/>
        <v>31.25</v>
      </c>
      <c r="P27" s="291">
        <f t="shared" si="5"/>
        <v>20.833333333333332</v>
      </c>
      <c r="S27" s="265">
        <v>20</v>
      </c>
      <c r="T27" s="266"/>
      <c r="U27" s="266"/>
      <c r="V27" s="266">
        <v>0.4</v>
      </c>
      <c r="W27" s="267">
        <v>0.6</v>
      </c>
      <c r="Z27" s="283">
        <v>20</v>
      </c>
      <c r="AA27" s="296" t="s">
        <v>501</v>
      </c>
      <c r="AB27" s="297">
        <v>1.8</v>
      </c>
      <c r="AC27" s="255"/>
      <c r="AD27" s="256"/>
      <c r="AG27" s="298">
        <v>20</v>
      </c>
      <c r="AH27" s="299" t="s">
        <v>501</v>
      </c>
      <c r="AI27" s="300">
        <v>0.4</v>
      </c>
      <c r="AJ27" s="259"/>
      <c r="AK27" s="260"/>
      <c r="AN27" s="441">
        <v>20</v>
      </c>
      <c r="AO27" s="433" t="s">
        <v>587</v>
      </c>
      <c r="AP27" s="438">
        <v>0.6</v>
      </c>
      <c r="AQ27" s="439"/>
      <c r="AR27" s="440">
        <v>1</v>
      </c>
      <c r="AT27" s="457">
        <v>20</v>
      </c>
      <c r="AU27" s="476"/>
      <c r="AV27" s="475">
        <v>0.8</v>
      </c>
      <c r="AW27" s="461">
        <v>1.6</v>
      </c>
    </row>
    <row r="28" spans="1:49" ht="14.25" customHeight="1">
      <c r="A28" s="233">
        <v>2</v>
      </c>
      <c r="B28" s="247">
        <v>19</v>
      </c>
      <c r="C28" s="237">
        <v>250</v>
      </c>
      <c r="D28" s="237">
        <v>125</v>
      </c>
      <c r="E28" s="237">
        <v>83</v>
      </c>
      <c r="F28" s="295">
        <f t="shared" si="0"/>
        <v>62.5</v>
      </c>
      <c r="G28" s="236">
        <f t="shared" si="1"/>
        <v>50</v>
      </c>
      <c r="H28" s="236">
        <v>32</v>
      </c>
      <c r="I28" s="236">
        <v>21</v>
      </c>
      <c r="J28" s="237">
        <v>0.00096</v>
      </c>
      <c r="K28" s="237">
        <v>1</v>
      </c>
      <c r="L28" s="236">
        <v>0.6</v>
      </c>
      <c r="M28">
        <f t="shared" si="2"/>
        <v>50</v>
      </c>
      <c r="N28" s="291">
        <f t="shared" si="3"/>
        <v>62.5</v>
      </c>
      <c r="O28" s="291">
        <f t="shared" si="4"/>
        <v>31.25</v>
      </c>
      <c r="P28" s="291">
        <f t="shared" si="5"/>
        <v>20.833333333333332</v>
      </c>
      <c r="S28" s="265">
        <v>21</v>
      </c>
      <c r="T28" s="266"/>
      <c r="U28" s="266"/>
      <c r="V28" s="266">
        <v>0.4</v>
      </c>
      <c r="W28" s="267">
        <v>0.6</v>
      </c>
      <c r="Z28" s="268">
        <v>21</v>
      </c>
      <c r="AA28" s="284" t="s">
        <v>502</v>
      </c>
      <c r="AB28" s="301">
        <v>1.8</v>
      </c>
      <c r="AC28" s="269"/>
      <c r="AD28" s="270"/>
      <c r="AG28" s="271">
        <v>21</v>
      </c>
      <c r="AH28" s="258" t="s">
        <v>502</v>
      </c>
      <c r="AI28" s="302">
        <v>0.4</v>
      </c>
      <c r="AJ28" s="272"/>
      <c r="AK28" s="273"/>
      <c r="AN28" s="437">
        <v>21</v>
      </c>
      <c r="AO28" s="433" t="s">
        <v>590</v>
      </c>
      <c r="AP28" s="438">
        <v>0.6</v>
      </c>
      <c r="AQ28" s="439"/>
      <c r="AR28" s="440">
        <v>1</v>
      </c>
      <c r="AT28" s="457">
        <v>21</v>
      </c>
      <c r="AU28" s="474"/>
      <c r="AV28" s="475">
        <v>0.8</v>
      </c>
      <c r="AW28" s="461">
        <v>1.6</v>
      </c>
    </row>
    <row r="29" spans="1:49" ht="12.75">
      <c r="A29" s="233">
        <v>2</v>
      </c>
      <c r="B29" s="247">
        <v>20</v>
      </c>
      <c r="C29" s="237">
        <v>250</v>
      </c>
      <c r="D29" s="237">
        <v>125</v>
      </c>
      <c r="E29" s="237">
        <v>83</v>
      </c>
      <c r="F29" s="295">
        <f t="shared" si="0"/>
        <v>62.5</v>
      </c>
      <c r="G29" s="236">
        <f t="shared" si="1"/>
        <v>50</v>
      </c>
      <c r="H29" s="236">
        <v>32</v>
      </c>
      <c r="I29" s="236">
        <v>21</v>
      </c>
      <c r="J29" s="237">
        <v>0.00096</v>
      </c>
      <c r="K29" s="237">
        <v>1</v>
      </c>
      <c r="L29" s="236">
        <v>0.6</v>
      </c>
      <c r="M29">
        <f t="shared" si="2"/>
        <v>50</v>
      </c>
      <c r="N29" s="291">
        <f t="shared" si="3"/>
        <v>62.5</v>
      </c>
      <c r="O29" s="291">
        <f t="shared" si="4"/>
        <v>31.25</v>
      </c>
      <c r="P29" s="291">
        <f t="shared" si="5"/>
        <v>20.833333333333332</v>
      </c>
      <c r="S29" s="265">
        <v>22</v>
      </c>
      <c r="T29" s="266"/>
      <c r="U29" s="266"/>
      <c r="V29" s="266">
        <v>0.4</v>
      </c>
      <c r="W29" s="267">
        <v>0.6</v>
      </c>
      <c r="Z29" s="268">
        <v>22</v>
      </c>
      <c r="AA29" s="269"/>
      <c r="AB29" s="303">
        <v>1.8</v>
      </c>
      <c r="AC29" s="269"/>
      <c r="AD29" s="270"/>
      <c r="AG29" s="271">
        <v>22</v>
      </c>
      <c r="AH29" s="272"/>
      <c r="AI29" s="302">
        <v>0.4</v>
      </c>
      <c r="AJ29" s="272"/>
      <c r="AK29" s="273"/>
      <c r="AN29" s="437">
        <v>22</v>
      </c>
      <c r="AO29" s="439"/>
      <c r="AP29" s="438">
        <v>0.6</v>
      </c>
      <c r="AQ29" s="439"/>
      <c r="AR29" s="440">
        <v>1</v>
      </c>
      <c r="AT29" s="457">
        <v>22</v>
      </c>
      <c r="AU29" s="488"/>
      <c r="AV29" s="489">
        <v>0.8</v>
      </c>
      <c r="AW29" s="490">
        <v>1.6</v>
      </c>
    </row>
    <row r="30" spans="1:49" ht="12.75">
      <c r="A30" s="233">
        <v>2</v>
      </c>
      <c r="B30" s="247">
        <v>21</v>
      </c>
      <c r="C30" s="237">
        <v>250</v>
      </c>
      <c r="D30" s="237">
        <v>125</v>
      </c>
      <c r="E30" s="237">
        <v>83</v>
      </c>
      <c r="F30" s="295">
        <f t="shared" si="0"/>
        <v>62.5</v>
      </c>
      <c r="G30" s="236">
        <f t="shared" si="1"/>
        <v>50</v>
      </c>
      <c r="H30" s="236">
        <v>32</v>
      </c>
      <c r="I30" s="236">
        <v>21</v>
      </c>
      <c r="J30" s="237">
        <v>0.00096</v>
      </c>
      <c r="K30" s="237">
        <v>1</v>
      </c>
      <c r="L30" s="236">
        <v>0.6</v>
      </c>
      <c r="M30">
        <f t="shared" si="2"/>
        <v>50</v>
      </c>
      <c r="N30" s="291">
        <f t="shared" si="3"/>
        <v>62.5</v>
      </c>
      <c r="O30" s="291">
        <f t="shared" si="4"/>
        <v>31.25</v>
      </c>
      <c r="P30" s="291">
        <f t="shared" si="5"/>
        <v>20.833333333333332</v>
      </c>
      <c r="S30" s="265">
        <v>23</v>
      </c>
      <c r="T30" s="266"/>
      <c r="U30" s="266"/>
      <c r="V30" s="266">
        <v>0.4</v>
      </c>
      <c r="W30" s="267">
        <v>0.6</v>
      </c>
      <c r="Z30" s="268">
        <v>23</v>
      </c>
      <c r="AA30" s="269"/>
      <c r="AB30" s="303">
        <v>1.8</v>
      </c>
      <c r="AC30" s="269"/>
      <c r="AD30" s="270"/>
      <c r="AG30" s="271">
        <v>23</v>
      </c>
      <c r="AH30" s="272"/>
      <c r="AI30" s="302">
        <v>0.4</v>
      </c>
      <c r="AJ30" s="272"/>
      <c r="AK30" s="273"/>
      <c r="AN30" s="437">
        <v>23</v>
      </c>
      <c r="AO30" s="439"/>
      <c r="AP30" s="438">
        <v>0.6</v>
      </c>
      <c r="AQ30" s="439"/>
      <c r="AR30" s="440">
        <v>1</v>
      </c>
      <c r="AT30" s="457">
        <v>23</v>
      </c>
      <c r="AU30" s="474"/>
      <c r="AV30" s="475">
        <v>0.6</v>
      </c>
      <c r="AW30" s="461">
        <v>1.2</v>
      </c>
    </row>
    <row r="31" spans="1:49" ht="12.75">
      <c r="A31" s="233">
        <v>2</v>
      </c>
      <c r="B31" s="247">
        <v>22</v>
      </c>
      <c r="C31" s="237">
        <v>250</v>
      </c>
      <c r="D31" s="237">
        <v>125</v>
      </c>
      <c r="E31" s="237">
        <v>83</v>
      </c>
      <c r="F31" s="295">
        <f t="shared" si="0"/>
        <v>62.5</v>
      </c>
      <c r="G31" s="236">
        <f t="shared" si="1"/>
        <v>50</v>
      </c>
      <c r="H31" s="236">
        <v>32</v>
      </c>
      <c r="I31" s="236">
        <v>21</v>
      </c>
      <c r="J31" s="237">
        <v>0.00096</v>
      </c>
      <c r="K31" s="237">
        <v>1</v>
      </c>
      <c r="L31" s="236">
        <v>0.6</v>
      </c>
      <c r="M31">
        <f t="shared" si="2"/>
        <v>50</v>
      </c>
      <c r="N31" s="291">
        <f t="shared" si="3"/>
        <v>62.5</v>
      </c>
      <c r="O31" s="291">
        <f t="shared" si="4"/>
        <v>31.25</v>
      </c>
      <c r="P31" s="291">
        <f t="shared" si="5"/>
        <v>20.833333333333332</v>
      </c>
      <c r="S31" s="265">
        <v>24</v>
      </c>
      <c r="T31" s="266"/>
      <c r="U31" s="266"/>
      <c r="V31" s="266">
        <v>0.4</v>
      </c>
      <c r="W31" s="267">
        <v>0.6</v>
      </c>
      <c r="Z31" s="268">
        <v>24</v>
      </c>
      <c r="AA31" s="269"/>
      <c r="AB31" s="303">
        <v>1.8</v>
      </c>
      <c r="AC31" s="269"/>
      <c r="AD31" s="270"/>
      <c r="AG31" s="271">
        <v>24</v>
      </c>
      <c r="AH31" s="272"/>
      <c r="AI31" s="302">
        <v>0.4</v>
      </c>
      <c r="AJ31" s="272"/>
      <c r="AK31" s="273"/>
      <c r="AN31" s="437">
        <v>24</v>
      </c>
      <c r="AO31" s="439"/>
      <c r="AP31" s="438">
        <v>0.6</v>
      </c>
      <c r="AQ31" s="439"/>
      <c r="AR31" s="440">
        <v>1</v>
      </c>
      <c r="AT31" s="457">
        <v>24</v>
      </c>
      <c r="AU31" s="476"/>
      <c r="AV31" s="475">
        <v>0.6</v>
      </c>
      <c r="AW31" s="461">
        <v>1.2</v>
      </c>
    </row>
    <row r="32" spans="1:49" ht="12.75">
      <c r="A32" s="233">
        <v>2</v>
      </c>
      <c r="B32" s="247">
        <v>23</v>
      </c>
      <c r="C32" s="237">
        <v>250</v>
      </c>
      <c r="D32" s="237">
        <v>125</v>
      </c>
      <c r="E32" s="237">
        <v>83</v>
      </c>
      <c r="F32" s="295">
        <f t="shared" si="0"/>
        <v>62.5</v>
      </c>
      <c r="G32" s="236">
        <f t="shared" si="1"/>
        <v>50</v>
      </c>
      <c r="H32" s="236">
        <v>32</v>
      </c>
      <c r="I32" s="236">
        <v>21</v>
      </c>
      <c r="J32" s="237">
        <v>0.00096</v>
      </c>
      <c r="K32" s="237">
        <v>1</v>
      </c>
      <c r="L32" s="236">
        <v>0.6</v>
      </c>
      <c r="M32">
        <f t="shared" si="2"/>
        <v>50</v>
      </c>
      <c r="N32" s="291">
        <f t="shared" si="3"/>
        <v>62.5</v>
      </c>
      <c r="O32" s="291">
        <f t="shared" si="4"/>
        <v>31.25</v>
      </c>
      <c r="P32" s="291">
        <f t="shared" si="5"/>
        <v>20.833333333333332</v>
      </c>
      <c r="S32" s="265">
        <v>25</v>
      </c>
      <c r="T32" s="266"/>
      <c r="U32" s="266"/>
      <c r="V32" s="266">
        <v>0.4</v>
      </c>
      <c r="W32" s="267">
        <v>0.6</v>
      </c>
      <c r="Z32" s="268">
        <v>25</v>
      </c>
      <c r="AA32" s="269"/>
      <c r="AB32" s="303">
        <v>1.8</v>
      </c>
      <c r="AC32" s="269"/>
      <c r="AD32" s="270"/>
      <c r="AG32" s="271">
        <v>25</v>
      </c>
      <c r="AH32" s="272"/>
      <c r="AI32" s="302">
        <v>0.4</v>
      </c>
      <c r="AJ32" s="272"/>
      <c r="AK32" s="273"/>
      <c r="AN32" s="437">
        <v>25</v>
      </c>
      <c r="AO32" s="439"/>
      <c r="AP32" s="438">
        <v>0.6</v>
      </c>
      <c r="AQ32" s="439"/>
      <c r="AR32" s="440">
        <v>1</v>
      </c>
      <c r="AT32" s="457">
        <v>25</v>
      </c>
      <c r="AU32" s="476"/>
      <c r="AV32" s="475">
        <v>0.6</v>
      </c>
      <c r="AW32" s="461">
        <v>1.2</v>
      </c>
    </row>
    <row r="33" spans="1:49" ht="12.75">
      <c r="A33" s="233">
        <v>2</v>
      </c>
      <c r="B33" s="247">
        <v>24</v>
      </c>
      <c r="C33" s="237">
        <v>250</v>
      </c>
      <c r="D33" s="237">
        <v>125</v>
      </c>
      <c r="E33" s="237">
        <v>83</v>
      </c>
      <c r="F33" s="295">
        <f t="shared" si="0"/>
        <v>62.5</v>
      </c>
      <c r="G33" s="236">
        <f t="shared" si="1"/>
        <v>50</v>
      </c>
      <c r="H33" s="236">
        <v>32</v>
      </c>
      <c r="I33" s="236">
        <v>21</v>
      </c>
      <c r="J33" s="237">
        <v>0.00096</v>
      </c>
      <c r="K33" s="237">
        <v>1</v>
      </c>
      <c r="L33" s="236">
        <v>0.6</v>
      </c>
      <c r="M33">
        <f t="shared" si="2"/>
        <v>50</v>
      </c>
      <c r="N33" s="291">
        <f t="shared" si="3"/>
        <v>62.5</v>
      </c>
      <c r="O33" s="291">
        <f t="shared" si="4"/>
        <v>31.25</v>
      </c>
      <c r="P33" s="291">
        <f t="shared" si="5"/>
        <v>20.833333333333332</v>
      </c>
      <c r="S33" s="265">
        <v>26</v>
      </c>
      <c r="T33" s="266"/>
      <c r="U33" s="266"/>
      <c r="V33" s="266">
        <v>0.4</v>
      </c>
      <c r="W33" s="267">
        <v>0.6</v>
      </c>
      <c r="Z33" s="268">
        <v>26</v>
      </c>
      <c r="AA33" s="269"/>
      <c r="AB33" s="303">
        <v>1.8</v>
      </c>
      <c r="AC33" s="269"/>
      <c r="AD33" s="270"/>
      <c r="AG33" s="271">
        <v>26</v>
      </c>
      <c r="AH33" s="272"/>
      <c r="AI33" s="302">
        <v>0.4</v>
      </c>
      <c r="AJ33" s="272"/>
      <c r="AK33" s="273"/>
      <c r="AN33" s="437">
        <v>26</v>
      </c>
      <c r="AO33" s="439"/>
      <c r="AP33" s="438">
        <v>0.6</v>
      </c>
      <c r="AQ33" s="439"/>
      <c r="AR33" s="440">
        <v>1</v>
      </c>
      <c r="AT33" s="457">
        <v>26</v>
      </c>
      <c r="AU33" s="474"/>
      <c r="AV33" s="475">
        <v>0.6</v>
      </c>
      <c r="AW33" s="461">
        <v>1.2</v>
      </c>
    </row>
    <row r="34" spans="1:49" ht="12.75">
      <c r="A34" s="233">
        <v>2</v>
      </c>
      <c r="B34" s="247">
        <v>25</v>
      </c>
      <c r="C34" s="237">
        <v>250</v>
      </c>
      <c r="D34" s="237">
        <v>125</v>
      </c>
      <c r="E34" s="237">
        <v>83</v>
      </c>
      <c r="F34" s="295">
        <f t="shared" si="0"/>
        <v>62.5</v>
      </c>
      <c r="G34" s="236">
        <f t="shared" si="1"/>
        <v>50</v>
      </c>
      <c r="H34" s="236">
        <v>32</v>
      </c>
      <c r="I34" s="236">
        <v>21</v>
      </c>
      <c r="J34" s="237">
        <v>0.00096</v>
      </c>
      <c r="K34" s="237">
        <v>1</v>
      </c>
      <c r="L34" s="236">
        <v>0.6</v>
      </c>
      <c r="M34">
        <f t="shared" si="2"/>
        <v>50</v>
      </c>
      <c r="N34" s="291">
        <f t="shared" si="3"/>
        <v>62.5</v>
      </c>
      <c r="O34" s="291">
        <f t="shared" si="4"/>
        <v>31.25</v>
      </c>
      <c r="P34" s="291">
        <f t="shared" si="5"/>
        <v>20.833333333333332</v>
      </c>
      <c r="S34" s="265">
        <v>27</v>
      </c>
      <c r="T34" s="266"/>
      <c r="U34" s="266"/>
      <c r="V34" s="266">
        <v>0.4</v>
      </c>
      <c r="W34" s="267">
        <v>0.6</v>
      </c>
      <c r="Z34" s="268">
        <v>27</v>
      </c>
      <c r="AA34" s="269"/>
      <c r="AB34" s="303">
        <v>1.8</v>
      </c>
      <c r="AC34" s="269"/>
      <c r="AD34" s="270"/>
      <c r="AG34" s="271">
        <v>27</v>
      </c>
      <c r="AH34" s="272"/>
      <c r="AI34" s="302">
        <v>0.4</v>
      </c>
      <c r="AJ34" s="272"/>
      <c r="AK34" s="273"/>
      <c r="AN34" s="437">
        <v>27</v>
      </c>
      <c r="AO34" s="439"/>
      <c r="AP34" s="438">
        <v>0.6</v>
      </c>
      <c r="AQ34" s="439"/>
      <c r="AR34" s="440">
        <v>1</v>
      </c>
      <c r="AT34" s="457">
        <v>27</v>
      </c>
      <c r="AU34" s="474"/>
      <c r="AV34" s="475">
        <v>0.6</v>
      </c>
      <c r="AW34" s="461">
        <v>1.2</v>
      </c>
    </row>
    <row r="35" spans="1:49" ht="12.75">
      <c r="A35" s="233">
        <v>2</v>
      </c>
      <c r="B35" s="247">
        <v>26</v>
      </c>
      <c r="C35" s="237">
        <v>250</v>
      </c>
      <c r="D35" s="237">
        <v>125</v>
      </c>
      <c r="E35" s="237">
        <v>83</v>
      </c>
      <c r="F35" s="295">
        <f t="shared" si="0"/>
        <v>62.5</v>
      </c>
      <c r="G35" s="236">
        <f t="shared" si="1"/>
        <v>50</v>
      </c>
      <c r="H35" s="236">
        <v>32</v>
      </c>
      <c r="I35" s="236">
        <v>21</v>
      </c>
      <c r="J35" s="237">
        <v>0.00096</v>
      </c>
      <c r="K35" s="237">
        <v>1</v>
      </c>
      <c r="L35" s="236">
        <v>0.6</v>
      </c>
      <c r="M35">
        <f t="shared" si="2"/>
        <v>50</v>
      </c>
      <c r="N35" s="291">
        <f t="shared" si="3"/>
        <v>62.5</v>
      </c>
      <c r="O35" s="291">
        <f t="shared" si="4"/>
        <v>31.25</v>
      </c>
      <c r="P35" s="291">
        <f t="shared" si="5"/>
        <v>20.833333333333332</v>
      </c>
      <c r="S35" s="265">
        <v>28</v>
      </c>
      <c r="T35" s="266"/>
      <c r="U35" s="266"/>
      <c r="V35" s="266">
        <v>0.4</v>
      </c>
      <c r="W35" s="267">
        <v>0.6</v>
      </c>
      <c r="Z35" s="268">
        <v>28</v>
      </c>
      <c r="AA35" s="269"/>
      <c r="AB35" s="303">
        <v>1.8</v>
      </c>
      <c r="AC35" s="269"/>
      <c r="AD35" s="270"/>
      <c r="AG35" s="271">
        <v>28</v>
      </c>
      <c r="AH35" s="272"/>
      <c r="AI35" s="302">
        <v>0.4</v>
      </c>
      <c r="AJ35" s="272"/>
      <c r="AK35" s="273"/>
      <c r="AN35" s="437">
        <v>28</v>
      </c>
      <c r="AO35" s="439"/>
      <c r="AP35" s="438">
        <v>0.6</v>
      </c>
      <c r="AQ35" s="439"/>
      <c r="AR35" s="440">
        <v>1</v>
      </c>
      <c r="AT35" s="457">
        <v>28</v>
      </c>
      <c r="AU35" s="474"/>
      <c r="AV35" s="475">
        <v>0.6</v>
      </c>
      <c r="AW35" s="461">
        <v>1.2</v>
      </c>
    </row>
    <row r="36" spans="1:49" ht="13.5" thickBot="1">
      <c r="A36" s="233">
        <v>2</v>
      </c>
      <c r="B36" s="247">
        <v>27</v>
      </c>
      <c r="C36" s="237">
        <v>250</v>
      </c>
      <c r="D36" s="237">
        <v>125</v>
      </c>
      <c r="E36" s="237">
        <v>83</v>
      </c>
      <c r="F36" s="295">
        <f t="shared" si="0"/>
        <v>62.5</v>
      </c>
      <c r="G36" s="236">
        <f t="shared" si="1"/>
        <v>50</v>
      </c>
      <c r="H36" s="236">
        <v>32</v>
      </c>
      <c r="I36" s="236">
        <v>21</v>
      </c>
      <c r="J36" s="237">
        <v>0.00096</v>
      </c>
      <c r="K36" s="237">
        <v>1</v>
      </c>
      <c r="L36" s="236">
        <v>0.6</v>
      </c>
      <c r="M36">
        <f t="shared" si="2"/>
        <v>50</v>
      </c>
      <c r="N36" s="291">
        <f t="shared" si="3"/>
        <v>62.5</v>
      </c>
      <c r="O36" s="291">
        <f t="shared" si="4"/>
        <v>31.25</v>
      </c>
      <c r="P36" s="291">
        <f t="shared" si="5"/>
        <v>20.833333333333332</v>
      </c>
      <c r="S36" s="265">
        <v>29</v>
      </c>
      <c r="T36" s="266"/>
      <c r="U36" s="266"/>
      <c r="V36" s="266">
        <v>0.4</v>
      </c>
      <c r="W36" s="267">
        <v>0.6</v>
      </c>
      <c r="Z36" s="268">
        <v>29</v>
      </c>
      <c r="AA36" s="269"/>
      <c r="AB36" s="303">
        <v>1.8</v>
      </c>
      <c r="AC36" s="269"/>
      <c r="AD36" s="270"/>
      <c r="AG36" s="271">
        <v>29</v>
      </c>
      <c r="AH36" s="272"/>
      <c r="AI36" s="302">
        <v>0.4</v>
      </c>
      <c r="AJ36" s="272"/>
      <c r="AK36" s="273"/>
      <c r="AN36" s="444">
        <v>29</v>
      </c>
      <c r="AO36" s="445"/>
      <c r="AP36" s="443">
        <v>0.6</v>
      </c>
      <c r="AQ36" s="445"/>
      <c r="AR36" s="446">
        <v>1</v>
      </c>
      <c r="AT36" s="457">
        <v>29</v>
      </c>
      <c r="AU36" s="474"/>
      <c r="AV36" s="475">
        <v>0.6</v>
      </c>
      <c r="AW36" s="461">
        <v>1.2</v>
      </c>
    </row>
    <row r="37" spans="1:49" ht="13.5" thickBot="1">
      <c r="A37" s="233">
        <v>2</v>
      </c>
      <c r="B37" s="247">
        <v>28</v>
      </c>
      <c r="C37" s="237">
        <v>250</v>
      </c>
      <c r="D37" s="237">
        <v>125</v>
      </c>
      <c r="E37" s="237">
        <v>83</v>
      </c>
      <c r="F37" s="295">
        <f t="shared" si="0"/>
        <v>62.5</v>
      </c>
      <c r="G37" s="236">
        <f t="shared" si="1"/>
        <v>50</v>
      </c>
      <c r="H37" s="236">
        <v>32</v>
      </c>
      <c r="I37" s="236">
        <v>21</v>
      </c>
      <c r="J37" s="237">
        <v>0.00096</v>
      </c>
      <c r="K37" s="237">
        <v>1</v>
      </c>
      <c r="L37" s="236">
        <v>0.6</v>
      </c>
      <c r="M37">
        <f t="shared" si="2"/>
        <v>50</v>
      </c>
      <c r="N37" s="291">
        <f t="shared" si="3"/>
        <v>62.5</v>
      </c>
      <c r="O37" s="291">
        <f t="shared" si="4"/>
        <v>31.25</v>
      </c>
      <c r="P37" s="291">
        <f t="shared" si="5"/>
        <v>20.833333333333332</v>
      </c>
      <c r="S37" s="274">
        <v>30</v>
      </c>
      <c r="T37" s="275"/>
      <c r="U37" s="275"/>
      <c r="V37" s="275">
        <v>0.4</v>
      </c>
      <c r="W37" s="276">
        <v>0.6</v>
      </c>
      <c r="Z37" s="268">
        <v>30</v>
      </c>
      <c r="AA37" s="269"/>
      <c r="AB37" s="303">
        <v>1.8</v>
      </c>
      <c r="AC37" s="269"/>
      <c r="AD37" s="270"/>
      <c r="AG37" s="271">
        <v>30</v>
      </c>
      <c r="AH37" s="272"/>
      <c r="AI37" s="302">
        <v>0.4</v>
      </c>
      <c r="AJ37" s="272"/>
      <c r="AK37" s="273"/>
      <c r="AN37" s="437">
        <v>30</v>
      </c>
      <c r="AO37" s="433" t="s">
        <v>591</v>
      </c>
      <c r="AP37" s="438">
        <v>0.4</v>
      </c>
      <c r="AQ37" s="439"/>
      <c r="AR37" s="440">
        <v>0.6</v>
      </c>
      <c r="AT37" s="457">
        <v>30</v>
      </c>
      <c r="AU37" s="477"/>
      <c r="AV37" s="483">
        <v>0.6</v>
      </c>
      <c r="AW37" s="484">
        <v>1.2</v>
      </c>
    </row>
    <row r="38" spans="1:49" ht="12.75">
      <c r="A38" s="233">
        <v>2</v>
      </c>
      <c r="B38" s="247">
        <v>29</v>
      </c>
      <c r="C38" s="237">
        <v>250</v>
      </c>
      <c r="D38" s="237">
        <v>125</v>
      </c>
      <c r="E38" s="237">
        <v>83</v>
      </c>
      <c r="F38" s="295">
        <f t="shared" si="0"/>
        <v>62.5</v>
      </c>
      <c r="G38" s="236">
        <f t="shared" si="1"/>
        <v>50</v>
      </c>
      <c r="H38" s="236">
        <v>32</v>
      </c>
      <c r="I38" s="236">
        <v>21</v>
      </c>
      <c r="J38" s="237">
        <v>0.00096</v>
      </c>
      <c r="K38" s="237">
        <v>1</v>
      </c>
      <c r="L38" s="236">
        <v>0.6</v>
      </c>
      <c r="M38">
        <f t="shared" si="2"/>
        <v>50</v>
      </c>
      <c r="N38" s="291">
        <f t="shared" si="3"/>
        <v>62.5</v>
      </c>
      <c r="O38" s="291">
        <f t="shared" si="4"/>
        <v>31.25</v>
      </c>
      <c r="P38" s="291">
        <f t="shared" si="5"/>
        <v>20.833333333333332</v>
      </c>
      <c r="S38" s="280">
        <v>31</v>
      </c>
      <c r="T38" s="281" t="s">
        <v>503</v>
      </c>
      <c r="U38" s="292">
        <v>0.3</v>
      </c>
      <c r="V38" s="252">
        <v>0.3</v>
      </c>
      <c r="W38" s="253">
        <v>0.7</v>
      </c>
      <c r="Z38" s="293">
        <v>31</v>
      </c>
      <c r="AA38" s="269"/>
      <c r="AB38" s="303">
        <v>1.8</v>
      </c>
      <c r="AC38" s="269"/>
      <c r="AD38" s="270"/>
      <c r="AG38" s="294">
        <v>31</v>
      </c>
      <c r="AH38" s="272"/>
      <c r="AI38" s="302">
        <v>0.4</v>
      </c>
      <c r="AJ38" s="272"/>
      <c r="AK38" s="273"/>
      <c r="AN38" s="442">
        <v>31</v>
      </c>
      <c r="AO38" s="439"/>
      <c r="AP38" s="438">
        <v>0.4</v>
      </c>
      <c r="AQ38" s="439"/>
      <c r="AR38" s="440">
        <v>0.6</v>
      </c>
      <c r="AT38" s="462">
        <v>31</v>
      </c>
      <c r="AU38" s="474" t="s">
        <v>595</v>
      </c>
      <c r="AV38" s="475">
        <v>0.6</v>
      </c>
      <c r="AW38" s="461">
        <v>1.2</v>
      </c>
    </row>
    <row r="39" spans="1:49" ht="12.75">
      <c r="A39" s="233">
        <v>2</v>
      </c>
      <c r="B39" s="247">
        <v>30</v>
      </c>
      <c r="C39" s="237">
        <v>250</v>
      </c>
      <c r="D39" s="237">
        <v>125</v>
      </c>
      <c r="E39" s="237">
        <v>83</v>
      </c>
      <c r="F39" s="295">
        <f t="shared" si="0"/>
        <v>62.5</v>
      </c>
      <c r="G39" s="236">
        <f t="shared" si="1"/>
        <v>50</v>
      </c>
      <c r="H39" s="236">
        <v>32</v>
      </c>
      <c r="I39" s="236">
        <v>21</v>
      </c>
      <c r="J39" s="237">
        <v>0.00096</v>
      </c>
      <c r="K39" s="237">
        <v>1</v>
      </c>
      <c r="L39" s="236">
        <v>0.6</v>
      </c>
      <c r="M39">
        <f t="shared" si="2"/>
        <v>50</v>
      </c>
      <c r="N39" s="291">
        <f t="shared" si="3"/>
        <v>62.5</v>
      </c>
      <c r="O39" s="291">
        <f t="shared" si="4"/>
        <v>31.25</v>
      </c>
      <c r="P39" s="291">
        <f t="shared" si="5"/>
        <v>20.833333333333332</v>
      </c>
      <c r="S39" s="265">
        <v>32</v>
      </c>
      <c r="T39" s="286" t="s">
        <v>504</v>
      </c>
      <c r="U39" s="266"/>
      <c r="V39" s="266">
        <v>0.3</v>
      </c>
      <c r="W39" s="267">
        <v>0.7</v>
      </c>
      <c r="Z39" s="268">
        <v>32</v>
      </c>
      <c r="AA39" s="25"/>
      <c r="AB39" s="303">
        <v>1.8</v>
      </c>
      <c r="AC39" s="269"/>
      <c r="AD39" s="270"/>
      <c r="AG39" s="271">
        <v>32</v>
      </c>
      <c r="AH39" s="241"/>
      <c r="AI39" s="302">
        <v>0.4</v>
      </c>
      <c r="AJ39" s="272"/>
      <c r="AK39" s="273"/>
      <c r="AN39" s="437">
        <v>32</v>
      </c>
      <c r="AO39" s="187"/>
      <c r="AP39" s="438">
        <v>0.4</v>
      </c>
      <c r="AQ39" s="439"/>
      <c r="AR39" s="440">
        <v>0.6</v>
      </c>
      <c r="AT39" s="462">
        <v>32</v>
      </c>
      <c r="AU39" s="474"/>
      <c r="AV39" s="475">
        <v>0.6</v>
      </c>
      <c r="AW39" s="461">
        <v>1.2</v>
      </c>
    </row>
    <row r="40" spans="1:49" ht="12.75">
      <c r="A40" s="233">
        <v>3</v>
      </c>
      <c r="B40" s="304">
        <v>31</v>
      </c>
      <c r="C40" s="290">
        <v>300</v>
      </c>
      <c r="D40" s="288">
        <v>150</v>
      </c>
      <c r="E40" s="290">
        <v>100</v>
      </c>
      <c r="F40" s="289">
        <f t="shared" si="0"/>
        <v>75</v>
      </c>
      <c r="G40" s="290">
        <f t="shared" si="1"/>
        <v>60</v>
      </c>
      <c r="H40" s="290">
        <v>38</v>
      </c>
      <c r="I40" s="290">
        <v>25</v>
      </c>
      <c r="J40" s="288">
        <v>0.0008</v>
      </c>
      <c r="K40" s="305">
        <v>0.714</v>
      </c>
      <c r="L40" s="290">
        <v>0.5</v>
      </c>
      <c r="M40">
        <f t="shared" si="2"/>
        <v>60</v>
      </c>
      <c r="N40" s="291">
        <f t="shared" si="3"/>
        <v>75</v>
      </c>
      <c r="O40" s="291">
        <f t="shared" si="4"/>
        <v>37.5</v>
      </c>
      <c r="P40" s="291">
        <f t="shared" si="5"/>
        <v>25</v>
      </c>
      <c r="S40" s="265">
        <v>33</v>
      </c>
      <c r="T40" s="286" t="s">
        <v>505</v>
      </c>
      <c r="U40" s="266"/>
      <c r="V40" s="266">
        <v>0.3</v>
      </c>
      <c r="W40" s="267">
        <v>0.7</v>
      </c>
      <c r="Z40" s="268">
        <v>33</v>
      </c>
      <c r="AA40" s="25"/>
      <c r="AB40" s="303">
        <v>1.8</v>
      </c>
      <c r="AC40" s="269"/>
      <c r="AD40" s="270"/>
      <c r="AG40" s="271">
        <v>33</v>
      </c>
      <c r="AH40" s="241"/>
      <c r="AI40" s="302">
        <v>0.4</v>
      </c>
      <c r="AJ40" s="272"/>
      <c r="AK40" s="273"/>
      <c r="AN40" s="437">
        <v>33</v>
      </c>
      <c r="AO40" s="187"/>
      <c r="AP40" s="438">
        <v>0.4</v>
      </c>
      <c r="AQ40" s="439"/>
      <c r="AR40" s="440">
        <v>0.6</v>
      </c>
      <c r="AT40" s="462">
        <v>33</v>
      </c>
      <c r="AU40" s="474"/>
      <c r="AV40" s="475">
        <v>0.6</v>
      </c>
      <c r="AW40" s="461">
        <v>1.2</v>
      </c>
    </row>
    <row r="41" spans="1:49" ht="13.5" thickBot="1">
      <c r="A41" s="233">
        <v>3</v>
      </c>
      <c r="B41" s="304">
        <v>32</v>
      </c>
      <c r="C41" s="290">
        <v>300</v>
      </c>
      <c r="D41" s="288">
        <v>150</v>
      </c>
      <c r="E41" s="290">
        <v>100</v>
      </c>
      <c r="F41" s="289">
        <f t="shared" si="0"/>
        <v>75</v>
      </c>
      <c r="G41" s="290">
        <f t="shared" si="1"/>
        <v>60</v>
      </c>
      <c r="H41" s="290">
        <v>38</v>
      </c>
      <c r="I41" s="290">
        <v>25</v>
      </c>
      <c r="J41" s="288">
        <v>0.0008</v>
      </c>
      <c r="K41" s="305">
        <v>0.714</v>
      </c>
      <c r="L41" s="290">
        <v>0.5</v>
      </c>
      <c r="M41">
        <f t="shared" si="2"/>
        <v>60</v>
      </c>
      <c r="N41" s="291">
        <f t="shared" si="3"/>
        <v>75</v>
      </c>
      <c r="O41" s="291">
        <f t="shared" si="4"/>
        <v>37.5</v>
      </c>
      <c r="P41" s="291">
        <f t="shared" si="5"/>
        <v>25</v>
      </c>
      <c r="S41" s="265">
        <v>34</v>
      </c>
      <c r="T41" s="266"/>
      <c r="U41" s="266"/>
      <c r="V41" s="266">
        <v>0.3</v>
      </c>
      <c r="W41" s="267">
        <v>0.7</v>
      </c>
      <c r="Z41" s="268">
        <v>34</v>
      </c>
      <c r="AA41" s="269"/>
      <c r="AB41" s="303">
        <v>1.8</v>
      </c>
      <c r="AC41" s="269"/>
      <c r="AD41" s="270"/>
      <c r="AG41" s="271">
        <v>34</v>
      </c>
      <c r="AH41" s="272"/>
      <c r="AI41" s="302">
        <v>0.4</v>
      </c>
      <c r="AJ41" s="272"/>
      <c r="AK41" s="273"/>
      <c r="AN41" s="437">
        <v>34</v>
      </c>
      <c r="AO41" s="439"/>
      <c r="AP41" s="438">
        <v>0.4</v>
      </c>
      <c r="AQ41" s="439"/>
      <c r="AR41" s="440">
        <v>0.6</v>
      </c>
      <c r="AT41" s="462">
        <v>34</v>
      </c>
      <c r="AU41" s="474"/>
      <c r="AV41" s="475">
        <v>0.6</v>
      </c>
      <c r="AW41" s="461">
        <v>1.2</v>
      </c>
    </row>
    <row r="42" spans="1:49" ht="12.75">
      <c r="A42" s="233">
        <v>3</v>
      </c>
      <c r="B42" s="304">
        <v>33</v>
      </c>
      <c r="C42" s="290">
        <v>300</v>
      </c>
      <c r="D42" s="288">
        <v>150</v>
      </c>
      <c r="E42" s="290">
        <v>100</v>
      </c>
      <c r="F42" s="289">
        <f t="shared" si="0"/>
        <v>75</v>
      </c>
      <c r="G42" s="290">
        <f t="shared" si="1"/>
        <v>60</v>
      </c>
      <c r="H42" s="290">
        <v>38</v>
      </c>
      <c r="I42" s="290">
        <v>25</v>
      </c>
      <c r="J42" s="288">
        <v>0.0008</v>
      </c>
      <c r="K42" s="305">
        <v>0.714</v>
      </c>
      <c r="L42" s="290">
        <v>0.5</v>
      </c>
      <c r="M42">
        <f t="shared" si="2"/>
        <v>60</v>
      </c>
      <c r="N42" s="291">
        <f t="shared" si="3"/>
        <v>75</v>
      </c>
      <c r="O42" s="291">
        <f t="shared" si="4"/>
        <v>37.5</v>
      </c>
      <c r="P42" s="291">
        <f t="shared" si="5"/>
        <v>25</v>
      </c>
      <c r="S42" s="265">
        <v>35</v>
      </c>
      <c r="T42" s="266"/>
      <c r="U42" s="266"/>
      <c r="V42" s="266">
        <v>0.3</v>
      </c>
      <c r="W42" s="267">
        <v>0.7</v>
      </c>
      <c r="Z42" s="254">
        <v>35</v>
      </c>
      <c r="AA42" s="296" t="s">
        <v>504</v>
      </c>
      <c r="AB42" s="255">
        <v>1.21</v>
      </c>
      <c r="AC42" s="255"/>
      <c r="AD42" s="256"/>
      <c r="AG42" s="271">
        <v>35</v>
      </c>
      <c r="AH42" s="241"/>
      <c r="AI42" s="302">
        <v>0.4</v>
      </c>
      <c r="AJ42" s="272"/>
      <c r="AK42" s="273"/>
      <c r="AN42" s="437">
        <v>35</v>
      </c>
      <c r="AO42" s="187"/>
      <c r="AP42" s="438">
        <v>0.4</v>
      </c>
      <c r="AQ42" s="439"/>
      <c r="AR42" s="440">
        <v>0.6</v>
      </c>
      <c r="AT42" s="462">
        <v>35</v>
      </c>
      <c r="AU42" s="474"/>
      <c r="AV42" s="475">
        <v>0.6</v>
      </c>
      <c r="AW42" s="461">
        <v>1.2</v>
      </c>
    </row>
    <row r="43" spans="1:49" ht="12.75">
      <c r="A43" s="233">
        <v>3</v>
      </c>
      <c r="B43" s="304">
        <v>34</v>
      </c>
      <c r="C43" s="290">
        <v>300</v>
      </c>
      <c r="D43" s="288">
        <v>150</v>
      </c>
      <c r="E43" s="290">
        <v>100</v>
      </c>
      <c r="F43" s="289">
        <f t="shared" si="0"/>
        <v>75</v>
      </c>
      <c r="G43" s="290">
        <f t="shared" si="1"/>
        <v>60</v>
      </c>
      <c r="H43" s="290">
        <v>38</v>
      </c>
      <c r="I43" s="290">
        <v>25</v>
      </c>
      <c r="J43" s="288">
        <v>0.0008</v>
      </c>
      <c r="K43" s="305">
        <v>0.714</v>
      </c>
      <c r="L43" s="290">
        <v>0.5</v>
      </c>
      <c r="M43">
        <f t="shared" si="2"/>
        <v>60</v>
      </c>
      <c r="N43" s="291">
        <f t="shared" si="3"/>
        <v>75</v>
      </c>
      <c r="O43" s="291">
        <f t="shared" si="4"/>
        <v>37.5</v>
      </c>
      <c r="P43" s="291">
        <f t="shared" si="5"/>
        <v>25</v>
      </c>
      <c r="S43" s="265">
        <v>36</v>
      </c>
      <c r="T43" s="266"/>
      <c r="U43" s="266"/>
      <c r="V43" s="266">
        <v>0.3</v>
      </c>
      <c r="W43" s="267">
        <v>0.7</v>
      </c>
      <c r="Z43" s="268">
        <v>36</v>
      </c>
      <c r="AA43" s="284" t="s">
        <v>505</v>
      </c>
      <c r="AB43" s="269">
        <v>1.21</v>
      </c>
      <c r="AC43" s="269"/>
      <c r="AD43" s="270"/>
      <c r="AG43" s="271">
        <v>36</v>
      </c>
      <c r="AH43" s="241"/>
      <c r="AI43" s="302">
        <v>0.4</v>
      </c>
      <c r="AJ43" s="272"/>
      <c r="AK43" s="273"/>
      <c r="AN43" s="437">
        <v>36</v>
      </c>
      <c r="AO43" s="187"/>
      <c r="AP43" s="438">
        <v>0.4</v>
      </c>
      <c r="AQ43" s="439"/>
      <c r="AR43" s="440">
        <v>0.6</v>
      </c>
      <c r="AT43" s="462">
        <v>36</v>
      </c>
      <c r="AU43" s="474"/>
      <c r="AV43" s="475">
        <v>0.6</v>
      </c>
      <c r="AW43" s="461">
        <v>1.2</v>
      </c>
    </row>
    <row r="44" spans="1:49" ht="12.75">
      <c r="A44" s="233">
        <v>3</v>
      </c>
      <c r="B44" s="304">
        <v>35</v>
      </c>
      <c r="C44" s="290">
        <v>300</v>
      </c>
      <c r="D44" s="288">
        <v>150</v>
      </c>
      <c r="E44" s="290">
        <v>100</v>
      </c>
      <c r="F44" s="289">
        <f t="shared" si="0"/>
        <v>75</v>
      </c>
      <c r="G44" s="290">
        <f t="shared" si="1"/>
        <v>60</v>
      </c>
      <c r="H44" s="290">
        <v>38</v>
      </c>
      <c r="I44" s="290">
        <v>25</v>
      </c>
      <c r="J44" s="288">
        <v>0.0008</v>
      </c>
      <c r="K44" s="305">
        <v>0.714</v>
      </c>
      <c r="L44" s="290">
        <v>0.5</v>
      </c>
      <c r="M44">
        <f t="shared" si="2"/>
        <v>60</v>
      </c>
      <c r="N44" s="291">
        <f t="shared" si="3"/>
        <v>75</v>
      </c>
      <c r="O44" s="291">
        <f t="shared" si="4"/>
        <v>37.5</v>
      </c>
      <c r="P44" s="291">
        <f t="shared" si="5"/>
        <v>25</v>
      </c>
      <c r="S44" s="265">
        <v>37</v>
      </c>
      <c r="T44" s="266"/>
      <c r="U44" s="266"/>
      <c r="V44" s="266">
        <v>0.3</v>
      </c>
      <c r="W44" s="267">
        <v>0.7</v>
      </c>
      <c r="Z44" s="268">
        <v>37</v>
      </c>
      <c r="AA44" s="25"/>
      <c r="AB44" s="25">
        <v>1.21</v>
      </c>
      <c r="AC44" s="269"/>
      <c r="AD44" s="270"/>
      <c r="AG44" s="271">
        <v>37</v>
      </c>
      <c r="AH44" s="241"/>
      <c r="AI44" s="302">
        <v>0.4</v>
      </c>
      <c r="AJ44" s="272"/>
      <c r="AK44" s="273"/>
      <c r="AN44" s="437">
        <v>37</v>
      </c>
      <c r="AO44" s="187"/>
      <c r="AP44" s="438">
        <v>0.4</v>
      </c>
      <c r="AQ44" s="439"/>
      <c r="AR44" s="440">
        <v>0.6</v>
      </c>
      <c r="AT44" s="462">
        <v>37</v>
      </c>
      <c r="AU44" s="474"/>
      <c r="AV44" s="475">
        <v>0.6</v>
      </c>
      <c r="AW44" s="461">
        <v>1.2</v>
      </c>
    </row>
    <row r="45" spans="1:49" ht="12.75">
      <c r="A45" s="233">
        <v>3</v>
      </c>
      <c r="B45" s="304">
        <v>36</v>
      </c>
      <c r="C45" s="290">
        <v>300</v>
      </c>
      <c r="D45" s="288">
        <v>150</v>
      </c>
      <c r="E45" s="290">
        <v>100</v>
      </c>
      <c r="F45" s="289">
        <f t="shared" si="0"/>
        <v>75</v>
      </c>
      <c r="G45" s="290">
        <f t="shared" si="1"/>
        <v>60</v>
      </c>
      <c r="H45" s="290">
        <v>38</v>
      </c>
      <c r="I45" s="290">
        <v>25</v>
      </c>
      <c r="J45" s="288">
        <v>0.0008</v>
      </c>
      <c r="K45" s="305">
        <v>0.714</v>
      </c>
      <c r="L45" s="290">
        <v>0.5</v>
      </c>
      <c r="M45">
        <f t="shared" si="2"/>
        <v>60</v>
      </c>
      <c r="N45" s="291">
        <f t="shared" si="3"/>
        <v>75</v>
      </c>
      <c r="O45" s="291">
        <f t="shared" si="4"/>
        <v>37.5</v>
      </c>
      <c r="P45" s="291">
        <f t="shared" si="5"/>
        <v>25</v>
      </c>
      <c r="S45" s="265">
        <v>38</v>
      </c>
      <c r="T45" s="266"/>
      <c r="U45" s="266"/>
      <c r="V45" s="266">
        <v>0.3</v>
      </c>
      <c r="W45" s="267">
        <v>0.7</v>
      </c>
      <c r="Z45" s="268">
        <v>38</v>
      </c>
      <c r="AA45" s="269"/>
      <c r="AB45" s="25">
        <v>1.21</v>
      </c>
      <c r="AC45" s="269"/>
      <c r="AD45" s="270"/>
      <c r="AG45" s="271">
        <v>38</v>
      </c>
      <c r="AH45" s="272"/>
      <c r="AI45" s="302">
        <v>0.4</v>
      </c>
      <c r="AJ45" s="272"/>
      <c r="AK45" s="273"/>
      <c r="AN45" s="437">
        <v>38</v>
      </c>
      <c r="AO45" s="439"/>
      <c r="AP45" s="438">
        <v>0.4</v>
      </c>
      <c r="AQ45" s="439"/>
      <c r="AR45" s="440">
        <v>0.6</v>
      </c>
      <c r="AT45" s="462">
        <v>38</v>
      </c>
      <c r="AU45" s="474"/>
      <c r="AV45" s="475">
        <v>0.6</v>
      </c>
      <c r="AW45" s="461">
        <v>1.2</v>
      </c>
    </row>
    <row r="46" spans="1:49" ht="12.75">
      <c r="A46" s="233">
        <v>3</v>
      </c>
      <c r="B46" s="304">
        <v>37</v>
      </c>
      <c r="C46" s="290">
        <v>300</v>
      </c>
      <c r="D46" s="288">
        <v>150</v>
      </c>
      <c r="E46" s="290">
        <v>100</v>
      </c>
      <c r="F46" s="289">
        <f t="shared" si="0"/>
        <v>75</v>
      </c>
      <c r="G46" s="290">
        <f t="shared" si="1"/>
        <v>60</v>
      </c>
      <c r="H46" s="290">
        <v>38</v>
      </c>
      <c r="I46" s="290">
        <v>25</v>
      </c>
      <c r="J46" s="288">
        <v>0.0008</v>
      </c>
      <c r="K46" s="305">
        <v>0.714</v>
      </c>
      <c r="L46" s="290">
        <v>0.5</v>
      </c>
      <c r="M46">
        <f t="shared" si="2"/>
        <v>60</v>
      </c>
      <c r="N46" s="291">
        <f t="shared" si="3"/>
        <v>75</v>
      </c>
      <c r="O46" s="291">
        <f t="shared" si="4"/>
        <v>37.5</v>
      </c>
      <c r="P46" s="291">
        <f t="shared" si="5"/>
        <v>25</v>
      </c>
      <c r="S46" s="265">
        <v>39</v>
      </c>
      <c r="T46" s="266"/>
      <c r="U46" s="266"/>
      <c r="V46" s="266">
        <v>0.3</v>
      </c>
      <c r="W46" s="267">
        <v>0.7</v>
      </c>
      <c r="Z46" s="268">
        <v>39</v>
      </c>
      <c r="AA46" s="269"/>
      <c r="AB46" s="25">
        <v>1.21</v>
      </c>
      <c r="AC46" s="269"/>
      <c r="AD46" s="270"/>
      <c r="AG46" s="271">
        <v>39</v>
      </c>
      <c r="AH46" s="272"/>
      <c r="AI46" s="302">
        <v>0.4</v>
      </c>
      <c r="AJ46" s="272"/>
      <c r="AK46" s="273"/>
      <c r="AN46" s="437">
        <v>39</v>
      </c>
      <c r="AO46" s="439"/>
      <c r="AP46" s="438">
        <v>0.4</v>
      </c>
      <c r="AQ46" s="439"/>
      <c r="AR46" s="440">
        <v>0.6</v>
      </c>
      <c r="AT46" s="462">
        <v>39</v>
      </c>
      <c r="AU46" s="474"/>
      <c r="AV46" s="475">
        <v>0.6</v>
      </c>
      <c r="AW46" s="461">
        <v>1.2</v>
      </c>
    </row>
    <row r="47" spans="1:49" ht="12.75">
      <c r="A47" s="233">
        <v>3</v>
      </c>
      <c r="B47" s="304">
        <v>38</v>
      </c>
      <c r="C47" s="290">
        <v>300</v>
      </c>
      <c r="D47" s="288">
        <v>150</v>
      </c>
      <c r="E47" s="290">
        <v>100</v>
      </c>
      <c r="F47" s="289">
        <f t="shared" si="0"/>
        <v>75</v>
      </c>
      <c r="G47" s="290">
        <f t="shared" si="1"/>
        <v>60</v>
      </c>
      <c r="H47" s="290">
        <v>38</v>
      </c>
      <c r="I47" s="290">
        <v>25</v>
      </c>
      <c r="J47" s="288">
        <v>0.0008</v>
      </c>
      <c r="K47" s="305">
        <v>0.714</v>
      </c>
      <c r="L47" s="290">
        <v>0.5</v>
      </c>
      <c r="M47">
        <f t="shared" si="2"/>
        <v>60</v>
      </c>
      <c r="N47" s="291">
        <f t="shared" si="3"/>
        <v>75</v>
      </c>
      <c r="O47" s="291">
        <f t="shared" si="4"/>
        <v>37.5</v>
      </c>
      <c r="P47" s="291">
        <f t="shared" si="5"/>
        <v>25</v>
      </c>
      <c r="S47" s="265">
        <v>40</v>
      </c>
      <c r="T47" s="266"/>
      <c r="U47" s="266"/>
      <c r="V47" s="266">
        <v>0.3</v>
      </c>
      <c r="W47" s="267">
        <v>0.7</v>
      </c>
      <c r="Z47" s="268">
        <v>40</v>
      </c>
      <c r="AA47" s="269"/>
      <c r="AB47" s="25">
        <v>1.21</v>
      </c>
      <c r="AC47" s="269"/>
      <c r="AD47" s="270"/>
      <c r="AG47" s="271">
        <v>40</v>
      </c>
      <c r="AH47" s="272"/>
      <c r="AI47" s="302">
        <v>0.4</v>
      </c>
      <c r="AJ47" s="272"/>
      <c r="AK47" s="273"/>
      <c r="AN47" s="437">
        <v>40</v>
      </c>
      <c r="AO47" s="439"/>
      <c r="AP47" s="438">
        <v>0.4</v>
      </c>
      <c r="AQ47" s="439"/>
      <c r="AR47" s="440">
        <v>0.6</v>
      </c>
      <c r="AT47" s="462">
        <v>40</v>
      </c>
      <c r="AU47" s="476"/>
      <c r="AV47" s="475">
        <v>0.6</v>
      </c>
      <c r="AW47" s="461">
        <v>1.2</v>
      </c>
    </row>
    <row r="48" spans="1:49" ht="12.75">
      <c r="A48" s="233">
        <v>3</v>
      </c>
      <c r="B48" s="304">
        <v>39</v>
      </c>
      <c r="C48" s="290">
        <v>300</v>
      </c>
      <c r="D48" s="288">
        <v>150</v>
      </c>
      <c r="E48" s="290">
        <v>100</v>
      </c>
      <c r="F48" s="289">
        <f t="shared" si="0"/>
        <v>75</v>
      </c>
      <c r="G48" s="290">
        <f t="shared" si="1"/>
        <v>60</v>
      </c>
      <c r="H48" s="290">
        <v>38</v>
      </c>
      <c r="I48" s="290">
        <v>25</v>
      </c>
      <c r="J48" s="288">
        <v>0.0008</v>
      </c>
      <c r="K48" s="305">
        <v>0.714</v>
      </c>
      <c r="L48" s="290">
        <v>0.5</v>
      </c>
      <c r="M48">
        <f t="shared" si="2"/>
        <v>60</v>
      </c>
      <c r="N48" s="291">
        <f t="shared" si="3"/>
        <v>75</v>
      </c>
      <c r="O48" s="291">
        <f t="shared" si="4"/>
        <v>37.5</v>
      </c>
      <c r="P48" s="291">
        <f t="shared" si="5"/>
        <v>25</v>
      </c>
      <c r="S48" s="265">
        <v>41</v>
      </c>
      <c r="T48" s="266"/>
      <c r="U48" s="266"/>
      <c r="V48" s="266">
        <v>0.3</v>
      </c>
      <c r="W48" s="267">
        <v>0.7</v>
      </c>
      <c r="Z48" s="268">
        <v>41</v>
      </c>
      <c r="AA48" s="269"/>
      <c r="AB48" s="25">
        <v>1.21</v>
      </c>
      <c r="AC48" s="269"/>
      <c r="AD48" s="270"/>
      <c r="AG48" s="271">
        <v>41</v>
      </c>
      <c r="AH48" s="272"/>
      <c r="AI48" s="302">
        <v>0.4</v>
      </c>
      <c r="AJ48" s="272"/>
      <c r="AK48" s="273"/>
      <c r="AN48" s="437">
        <v>41</v>
      </c>
      <c r="AO48" s="439"/>
      <c r="AP48" s="438">
        <v>0.4</v>
      </c>
      <c r="AQ48" s="439"/>
      <c r="AR48" s="440">
        <v>0.6</v>
      </c>
      <c r="AT48" s="462">
        <v>41</v>
      </c>
      <c r="AU48" s="472"/>
      <c r="AV48" s="475">
        <v>0.6</v>
      </c>
      <c r="AW48" s="461">
        <v>1.2</v>
      </c>
    </row>
    <row r="49" spans="1:49" ht="12.75">
      <c r="A49" s="233">
        <v>3</v>
      </c>
      <c r="B49" s="304">
        <v>40</v>
      </c>
      <c r="C49" s="290">
        <v>300</v>
      </c>
      <c r="D49" s="288">
        <v>150</v>
      </c>
      <c r="E49" s="290">
        <v>100</v>
      </c>
      <c r="F49" s="289">
        <f t="shared" si="0"/>
        <v>75</v>
      </c>
      <c r="G49" s="290">
        <f t="shared" si="1"/>
        <v>60</v>
      </c>
      <c r="H49" s="290">
        <v>38</v>
      </c>
      <c r="I49" s="290">
        <v>25</v>
      </c>
      <c r="J49" s="288">
        <v>0.0008</v>
      </c>
      <c r="K49" s="305">
        <v>0.714</v>
      </c>
      <c r="L49" s="290">
        <v>0.5</v>
      </c>
      <c r="M49">
        <f t="shared" si="2"/>
        <v>60</v>
      </c>
      <c r="N49" s="291">
        <f t="shared" si="3"/>
        <v>75</v>
      </c>
      <c r="O49" s="291">
        <f t="shared" si="4"/>
        <v>37.5</v>
      </c>
      <c r="P49" s="291">
        <f t="shared" si="5"/>
        <v>25</v>
      </c>
      <c r="S49" s="265">
        <v>42</v>
      </c>
      <c r="T49" s="266"/>
      <c r="U49" s="266"/>
      <c r="V49" s="266">
        <v>0.3</v>
      </c>
      <c r="W49" s="267">
        <v>0.7</v>
      </c>
      <c r="Z49" s="268">
        <v>42</v>
      </c>
      <c r="AA49" s="269"/>
      <c r="AB49" s="25">
        <v>1.21</v>
      </c>
      <c r="AC49" s="269"/>
      <c r="AD49" s="270"/>
      <c r="AG49" s="271">
        <v>42</v>
      </c>
      <c r="AH49" s="272"/>
      <c r="AI49" s="302">
        <v>0.4</v>
      </c>
      <c r="AJ49" s="272"/>
      <c r="AK49" s="273"/>
      <c r="AN49" s="437">
        <v>42</v>
      </c>
      <c r="AO49" s="439"/>
      <c r="AP49" s="438">
        <v>0.4</v>
      </c>
      <c r="AQ49" s="439"/>
      <c r="AR49" s="440">
        <v>0.6</v>
      </c>
      <c r="AT49" s="462">
        <v>42</v>
      </c>
      <c r="AU49" s="472"/>
      <c r="AV49" s="475">
        <v>0.6</v>
      </c>
      <c r="AW49" s="461">
        <v>1.2</v>
      </c>
    </row>
    <row r="50" spans="1:49" ht="12.75">
      <c r="A50" s="233">
        <v>3</v>
      </c>
      <c r="B50" s="304">
        <v>41</v>
      </c>
      <c r="C50" s="290">
        <v>300</v>
      </c>
      <c r="D50" s="288">
        <v>150</v>
      </c>
      <c r="E50" s="290">
        <v>100</v>
      </c>
      <c r="F50" s="289">
        <f t="shared" si="0"/>
        <v>75</v>
      </c>
      <c r="G50" s="290">
        <f t="shared" si="1"/>
        <v>60</v>
      </c>
      <c r="H50" s="290">
        <v>38</v>
      </c>
      <c r="I50" s="290">
        <v>25</v>
      </c>
      <c r="J50" s="288">
        <v>0.0008</v>
      </c>
      <c r="K50" s="305">
        <v>0.714</v>
      </c>
      <c r="L50" s="290">
        <v>0.5</v>
      </c>
      <c r="M50">
        <f t="shared" si="2"/>
        <v>60</v>
      </c>
      <c r="N50" s="291">
        <f t="shared" si="3"/>
        <v>75</v>
      </c>
      <c r="O50" s="291">
        <f t="shared" si="4"/>
        <v>37.5</v>
      </c>
      <c r="P50" s="291">
        <f t="shared" si="5"/>
        <v>25</v>
      </c>
      <c r="S50" s="265">
        <v>43</v>
      </c>
      <c r="T50" s="266"/>
      <c r="U50" s="266"/>
      <c r="V50" s="266">
        <v>0.3</v>
      </c>
      <c r="W50" s="267">
        <v>0.7</v>
      </c>
      <c r="Z50" s="268">
        <v>43</v>
      </c>
      <c r="AA50" s="269"/>
      <c r="AB50" s="25">
        <v>1.21</v>
      </c>
      <c r="AC50" s="269"/>
      <c r="AD50" s="270"/>
      <c r="AG50" s="271">
        <v>43</v>
      </c>
      <c r="AH50" s="272"/>
      <c r="AI50" s="302">
        <v>0.4</v>
      </c>
      <c r="AJ50" s="272"/>
      <c r="AK50" s="273"/>
      <c r="AN50" s="437">
        <v>43</v>
      </c>
      <c r="AO50" s="439"/>
      <c r="AP50" s="438">
        <v>0.4</v>
      </c>
      <c r="AQ50" s="439"/>
      <c r="AR50" s="440">
        <v>0.6</v>
      </c>
      <c r="AT50" s="462">
        <v>43</v>
      </c>
      <c r="AU50" s="472"/>
      <c r="AV50" s="475">
        <v>0.6</v>
      </c>
      <c r="AW50" s="461">
        <v>1.2</v>
      </c>
    </row>
    <row r="51" spans="1:49" ht="12.75">
      <c r="A51" s="233">
        <v>3</v>
      </c>
      <c r="B51" s="304">
        <v>42</v>
      </c>
      <c r="C51" s="290">
        <v>300</v>
      </c>
      <c r="D51" s="288">
        <v>150</v>
      </c>
      <c r="E51" s="290">
        <v>100</v>
      </c>
      <c r="F51" s="289">
        <f t="shared" si="0"/>
        <v>75</v>
      </c>
      <c r="G51" s="290">
        <f t="shared" si="1"/>
        <v>60</v>
      </c>
      <c r="H51" s="290">
        <v>38</v>
      </c>
      <c r="I51" s="290">
        <v>25</v>
      </c>
      <c r="J51" s="288">
        <v>0.0008</v>
      </c>
      <c r="K51" s="305">
        <v>0.714</v>
      </c>
      <c r="L51" s="290">
        <v>0.5</v>
      </c>
      <c r="M51">
        <f t="shared" si="2"/>
        <v>60</v>
      </c>
      <c r="N51" s="291">
        <f t="shared" si="3"/>
        <v>75</v>
      </c>
      <c r="O51" s="291">
        <f t="shared" si="4"/>
        <v>37.5</v>
      </c>
      <c r="P51" s="291">
        <f t="shared" si="5"/>
        <v>25</v>
      </c>
      <c r="S51" s="265">
        <v>44</v>
      </c>
      <c r="T51" s="266"/>
      <c r="U51" s="266"/>
      <c r="V51" s="266">
        <v>0.3</v>
      </c>
      <c r="W51" s="267">
        <v>0.7</v>
      </c>
      <c r="Z51" s="268">
        <v>44</v>
      </c>
      <c r="AA51" s="269"/>
      <c r="AB51" s="25">
        <v>1.21</v>
      </c>
      <c r="AC51" s="269"/>
      <c r="AD51" s="270"/>
      <c r="AG51" s="271">
        <v>44</v>
      </c>
      <c r="AH51" s="272"/>
      <c r="AI51" s="302">
        <v>0.4</v>
      </c>
      <c r="AJ51" s="272"/>
      <c r="AK51" s="273"/>
      <c r="AN51" s="437">
        <v>44</v>
      </c>
      <c r="AO51" s="439"/>
      <c r="AP51" s="438">
        <v>0.4</v>
      </c>
      <c r="AQ51" s="439"/>
      <c r="AR51" s="440">
        <v>0.6</v>
      </c>
      <c r="AT51" s="462">
        <v>44</v>
      </c>
      <c r="AU51" s="472"/>
      <c r="AV51" s="475">
        <v>0.6</v>
      </c>
      <c r="AW51" s="461">
        <v>1.2</v>
      </c>
    </row>
    <row r="52" spans="1:49" ht="13.5" thickBot="1">
      <c r="A52" s="233">
        <v>3</v>
      </c>
      <c r="B52" s="304">
        <v>43</v>
      </c>
      <c r="C52" s="290">
        <v>300</v>
      </c>
      <c r="D52" s="288">
        <v>150</v>
      </c>
      <c r="E52" s="290">
        <v>100</v>
      </c>
      <c r="F52" s="289">
        <f t="shared" si="0"/>
        <v>75</v>
      </c>
      <c r="G52" s="290">
        <f t="shared" si="1"/>
        <v>60</v>
      </c>
      <c r="H52" s="290">
        <v>38</v>
      </c>
      <c r="I52" s="290">
        <v>25</v>
      </c>
      <c r="J52" s="288">
        <v>0.0008</v>
      </c>
      <c r="K52" s="305">
        <v>0.714</v>
      </c>
      <c r="L52" s="290">
        <v>0.5</v>
      </c>
      <c r="M52">
        <f t="shared" si="2"/>
        <v>60</v>
      </c>
      <c r="N52" s="291">
        <f t="shared" si="3"/>
        <v>75</v>
      </c>
      <c r="O52" s="291">
        <f t="shared" si="4"/>
        <v>37.5</v>
      </c>
      <c r="P52" s="291">
        <f t="shared" si="5"/>
        <v>25</v>
      </c>
      <c r="S52" s="265">
        <v>45</v>
      </c>
      <c r="T52" s="266"/>
      <c r="U52" s="266"/>
      <c r="V52" s="266">
        <v>0.3</v>
      </c>
      <c r="W52" s="267">
        <v>0.7</v>
      </c>
      <c r="Z52" s="268">
        <v>45</v>
      </c>
      <c r="AA52" s="269"/>
      <c r="AB52" s="25">
        <v>1.21</v>
      </c>
      <c r="AC52" s="269"/>
      <c r="AD52" s="270"/>
      <c r="AG52" s="271">
        <v>45</v>
      </c>
      <c r="AH52" s="272"/>
      <c r="AI52" s="302">
        <v>0.4</v>
      </c>
      <c r="AJ52" s="272"/>
      <c r="AK52" s="273"/>
      <c r="AN52" s="444">
        <v>45</v>
      </c>
      <c r="AO52" s="445"/>
      <c r="AP52" s="443">
        <v>0.4</v>
      </c>
      <c r="AQ52" s="445"/>
      <c r="AR52" s="446">
        <v>0.6</v>
      </c>
      <c r="AT52" s="462">
        <v>45</v>
      </c>
      <c r="AU52" s="485"/>
      <c r="AV52" s="489">
        <v>0.6</v>
      </c>
      <c r="AW52" s="490">
        <v>1.2</v>
      </c>
    </row>
    <row r="53" spans="1:49" ht="12.75">
      <c r="A53" s="233">
        <v>3</v>
      </c>
      <c r="B53" s="304">
        <v>44</v>
      </c>
      <c r="C53" s="290">
        <v>300</v>
      </c>
      <c r="D53" s="288">
        <v>150</v>
      </c>
      <c r="E53" s="290">
        <v>100</v>
      </c>
      <c r="F53" s="289">
        <f t="shared" si="0"/>
        <v>75</v>
      </c>
      <c r="G53" s="290">
        <f t="shared" si="1"/>
        <v>60</v>
      </c>
      <c r="H53" s="290">
        <v>38</v>
      </c>
      <c r="I53" s="290">
        <v>25</v>
      </c>
      <c r="J53" s="288">
        <v>0.0008</v>
      </c>
      <c r="K53" s="305">
        <v>0.714</v>
      </c>
      <c r="L53" s="290">
        <v>0.5</v>
      </c>
      <c r="M53">
        <f t="shared" si="2"/>
        <v>60</v>
      </c>
      <c r="N53" s="291">
        <f t="shared" si="3"/>
        <v>75</v>
      </c>
      <c r="O53" s="291">
        <f t="shared" si="4"/>
        <v>37.5</v>
      </c>
      <c r="P53" s="291">
        <f t="shared" si="5"/>
        <v>25</v>
      </c>
      <c r="S53" s="265">
        <v>46</v>
      </c>
      <c r="T53" s="266"/>
      <c r="U53" s="266"/>
      <c r="V53" s="266">
        <v>0.3</v>
      </c>
      <c r="W53" s="267">
        <v>0.7</v>
      </c>
      <c r="Z53" s="268">
        <v>46</v>
      </c>
      <c r="AA53" s="269"/>
      <c r="AB53" s="25">
        <v>1.21</v>
      </c>
      <c r="AC53" s="269"/>
      <c r="AD53" s="270"/>
      <c r="AG53" s="271">
        <v>46</v>
      </c>
      <c r="AH53" s="272"/>
      <c r="AI53" s="302">
        <v>0.4</v>
      </c>
      <c r="AJ53" s="272"/>
      <c r="AK53" s="273"/>
      <c r="AT53" s="462">
        <v>46</v>
      </c>
      <c r="AU53" s="472"/>
      <c r="AV53" s="473">
        <v>0.4</v>
      </c>
      <c r="AW53" s="479">
        <v>0.8</v>
      </c>
    </row>
    <row r="54" spans="1:49" ht="12.75">
      <c r="A54" s="233">
        <v>3</v>
      </c>
      <c r="B54" s="304">
        <v>45</v>
      </c>
      <c r="C54" s="290">
        <v>300</v>
      </c>
      <c r="D54" s="288">
        <v>150</v>
      </c>
      <c r="E54" s="290">
        <v>100</v>
      </c>
      <c r="F54" s="289">
        <f t="shared" si="0"/>
        <v>75</v>
      </c>
      <c r="G54" s="290">
        <f t="shared" si="1"/>
        <v>60</v>
      </c>
      <c r="H54" s="290">
        <v>38</v>
      </c>
      <c r="I54" s="290">
        <v>25</v>
      </c>
      <c r="J54" s="288">
        <v>0.0008</v>
      </c>
      <c r="K54" s="305">
        <v>0.714</v>
      </c>
      <c r="L54" s="290">
        <v>0.5</v>
      </c>
      <c r="M54">
        <f t="shared" si="2"/>
        <v>60</v>
      </c>
      <c r="N54" s="291">
        <f t="shared" si="3"/>
        <v>75</v>
      </c>
      <c r="O54" s="291">
        <f t="shared" si="4"/>
        <v>37.5</v>
      </c>
      <c r="P54" s="291">
        <f t="shared" si="5"/>
        <v>25</v>
      </c>
      <c r="S54" s="265">
        <v>47</v>
      </c>
      <c r="T54" s="266"/>
      <c r="U54" s="266"/>
      <c r="V54" s="266">
        <v>0.3</v>
      </c>
      <c r="W54" s="267">
        <v>0.7</v>
      </c>
      <c r="Z54" s="268">
        <v>47</v>
      </c>
      <c r="AA54" s="269"/>
      <c r="AB54" s="25">
        <v>1.21</v>
      </c>
      <c r="AC54" s="269"/>
      <c r="AD54" s="270"/>
      <c r="AG54" s="271">
        <v>47</v>
      </c>
      <c r="AH54" s="272"/>
      <c r="AI54" s="302">
        <v>0.4</v>
      </c>
      <c r="AJ54" s="272"/>
      <c r="AK54" s="273"/>
      <c r="AT54" s="462">
        <v>47</v>
      </c>
      <c r="AU54" s="472"/>
      <c r="AV54" s="473">
        <v>0.4</v>
      </c>
      <c r="AW54" s="479">
        <v>0.8</v>
      </c>
    </row>
    <row r="55" spans="1:49" ht="12.75">
      <c r="A55" s="233">
        <v>3</v>
      </c>
      <c r="B55" s="304">
        <v>46</v>
      </c>
      <c r="C55" s="290">
        <v>300</v>
      </c>
      <c r="D55" s="288">
        <v>150</v>
      </c>
      <c r="E55" s="290">
        <v>100</v>
      </c>
      <c r="F55" s="289">
        <f t="shared" si="0"/>
        <v>75</v>
      </c>
      <c r="G55" s="290">
        <f t="shared" si="1"/>
        <v>60</v>
      </c>
      <c r="H55" s="290">
        <v>38</v>
      </c>
      <c r="I55" s="290">
        <v>25</v>
      </c>
      <c r="J55" s="288">
        <v>0.0008</v>
      </c>
      <c r="K55" s="305">
        <v>0.714</v>
      </c>
      <c r="L55" s="290">
        <v>0.5</v>
      </c>
      <c r="M55">
        <f t="shared" si="2"/>
        <v>60</v>
      </c>
      <c r="N55" s="291">
        <f t="shared" si="3"/>
        <v>75</v>
      </c>
      <c r="O55" s="291">
        <f t="shared" si="4"/>
        <v>37.5</v>
      </c>
      <c r="P55" s="291">
        <f t="shared" si="5"/>
        <v>25</v>
      </c>
      <c r="S55" s="265">
        <v>48</v>
      </c>
      <c r="T55" s="266"/>
      <c r="U55" s="266"/>
      <c r="V55" s="266">
        <v>0.3</v>
      </c>
      <c r="W55" s="267">
        <v>0.7</v>
      </c>
      <c r="Z55" s="268">
        <v>48</v>
      </c>
      <c r="AA55" s="269"/>
      <c r="AB55" s="25">
        <v>1.21</v>
      </c>
      <c r="AC55" s="269"/>
      <c r="AD55" s="270"/>
      <c r="AG55" s="271">
        <v>48</v>
      </c>
      <c r="AH55" s="272"/>
      <c r="AI55" s="302">
        <v>0.4</v>
      </c>
      <c r="AJ55" s="272"/>
      <c r="AK55" s="273"/>
      <c r="AT55" s="462">
        <v>48</v>
      </c>
      <c r="AU55" s="472"/>
      <c r="AV55" s="473">
        <v>0.4</v>
      </c>
      <c r="AW55" s="479">
        <v>0.8</v>
      </c>
    </row>
    <row r="56" spans="1:49" ht="13.5" thickBot="1">
      <c r="A56" s="233">
        <v>3</v>
      </c>
      <c r="B56" s="304">
        <v>47</v>
      </c>
      <c r="C56" s="290">
        <v>300</v>
      </c>
      <c r="D56" s="288">
        <v>150</v>
      </c>
      <c r="E56" s="290">
        <v>100</v>
      </c>
      <c r="F56" s="289">
        <f t="shared" si="0"/>
        <v>75</v>
      </c>
      <c r="G56" s="290">
        <f t="shared" si="1"/>
        <v>60</v>
      </c>
      <c r="H56" s="290">
        <v>38</v>
      </c>
      <c r="I56" s="290">
        <v>25</v>
      </c>
      <c r="J56" s="288">
        <v>0.0008</v>
      </c>
      <c r="K56" s="305">
        <v>0.714</v>
      </c>
      <c r="L56" s="290">
        <v>0.5</v>
      </c>
      <c r="M56">
        <f t="shared" si="2"/>
        <v>60</v>
      </c>
      <c r="N56" s="291">
        <f t="shared" si="3"/>
        <v>75</v>
      </c>
      <c r="O56" s="291">
        <f t="shared" si="4"/>
        <v>37.5</v>
      </c>
      <c r="P56" s="291">
        <f t="shared" si="5"/>
        <v>25</v>
      </c>
      <c r="S56" s="265">
        <v>49</v>
      </c>
      <c r="T56" s="266"/>
      <c r="U56" s="266"/>
      <c r="V56" s="266">
        <v>0.3</v>
      </c>
      <c r="W56" s="267">
        <v>0.7</v>
      </c>
      <c r="Z56" s="268">
        <v>49</v>
      </c>
      <c r="AA56" s="269"/>
      <c r="AB56" s="25">
        <v>1.21</v>
      </c>
      <c r="AC56" s="269"/>
      <c r="AD56" s="270"/>
      <c r="AG56" s="306">
        <v>49</v>
      </c>
      <c r="AH56" s="307"/>
      <c r="AI56" s="308">
        <v>0.4</v>
      </c>
      <c r="AJ56" s="307"/>
      <c r="AK56" s="309"/>
      <c r="AT56" s="462">
        <v>49</v>
      </c>
      <c r="AU56" s="472"/>
      <c r="AV56" s="473">
        <v>0.4</v>
      </c>
      <c r="AW56" s="479">
        <v>0.8</v>
      </c>
    </row>
    <row r="57" spans="1:49" ht="12.75">
      <c r="A57" s="233">
        <v>3</v>
      </c>
      <c r="B57" s="304">
        <v>48</v>
      </c>
      <c r="C57" s="290">
        <v>300</v>
      </c>
      <c r="D57" s="288">
        <v>150</v>
      </c>
      <c r="E57" s="290">
        <v>100</v>
      </c>
      <c r="F57" s="289">
        <f t="shared" si="0"/>
        <v>75</v>
      </c>
      <c r="G57" s="290">
        <f t="shared" si="1"/>
        <v>60</v>
      </c>
      <c r="H57" s="290">
        <v>38</v>
      </c>
      <c r="I57" s="290">
        <v>25</v>
      </c>
      <c r="J57" s="288">
        <v>0.0008</v>
      </c>
      <c r="K57" s="305">
        <v>0.714</v>
      </c>
      <c r="L57" s="290">
        <v>0.5</v>
      </c>
      <c r="M57">
        <f t="shared" si="2"/>
        <v>60</v>
      </c>
      <c r="N57" s="291">
        <f t="shared" si="3"/>
        <v>75</v>
      </c>
      <c r="O57" s="291">
        <f t="shared" si="4"/>
        <v>37.5</v>
      </c>
      <c r="P57" s="291">
        <f t="shared" si="5"/>
        <v>25</v>
      </c>
      <c r="S57" s="265">
        <v>50</v>
      </c>
      <c r="T57" s="266"/>
      <c r="U57" s="266"/>
      <c r="V57" s="266">
        <v>0.3</v>
      </c>
      <c r="W57" s="267">
        <v>0.7</v>
      </c>
      <c r="Z57" s="310">
        <v>50</v>
      </c>
      <c r="AA57" s="311"/>
      <c r="AB57" s="311">
        <v>0.71</v>
      </c>
      <c r="AC57" s="311"/>
      <c r="AD57" s="312"/>
      <c r="AG57" s="271">
        <v>50</v>
      </c>
      <c r="AH57" s="258" t="s">
        <v>504</v>
      </c>
      <c r="AI57" s="302">
        <v>0.3</v>
      </c>
      <c r="AJ57" s="272"/>
      <c r="AK57" s="273"/>
      <c r="AT57" s="462">
        <v>50</v>
      </c>
      <c r="AU57" s="472"/>
      <c r="AV57" s="473">
        <v>0.4</v>
      </c>
      <c r="AW57" s="479">
        <v>0.8</v>
      </c>
    </row>
    <row r="58" spans="1:49" ht="12.75">
      <c r="A58" s="233">
        <v>3</v>
      </c>
      <c r="B58" s="304">
        <v>49</v>
      </c>
      <c r="C58" s="290">
        <v>300</v>
      </c>
      <c r="D58" s="288">
        <v>150</v>
      </c>
      <c r="E58" s="290">
        <v>100</v>
      </c>
      <c r="F58" s="289">
        <f t="shared" si="0"/>
        <v>75</v>
      </c>
      <c r="G58" s="290">
        <f t="shared" si="1"/>
        <v>60</v>
      </c>
      <c r="H58" s="290">
        <v>38</v>
      </c>
      <c r="I58" s="290">
        <v>25</v>
      </c>
      <c r="J58" s="288">
        <v>0.0008</v>
      </c>
      <c r="K58" s="305">
        <v>0.714</v>
      </c>
      <c r="L58" s="290">
        <v>0.5</v>
      </c>
      <c r="M58">
        <f t="shared" si="2"/>
        <v>60</v>
      </c>
      <c r="N58" s="291">
        <f t="shared" si="3"/>
        <v>75</v>
      </c>
      <c r="O58" s="291">
        <f t="shared" si="4"/>
        <v>37.5</v>
      </c>
      <c r="P58" s="291">
        <f t="shared" si="5"/>
        <v>25</v>
      </c>
      <c r="S58" s="265">
        <v>51</v>
      </c>
      <c r="T58" s="266"/>
      <c r="U58" s="266"/>
      <c r="V58" s="266">
        <v>0.3</v>
      </c>
      <c r="W58" s="267">
        <v>0.7</v>
      </c>
      <c r="Z58" s="268">
        <v>51</v>
      </c>
      <c r="AA58" s="269"/>
      <c r="AB58" s="25">
        <v>0.71</v>
      </c>
      <c r="AC58" s="269"/>
      <c r="AD58" s="270"/>
      <c r="AG58" s="271">
        <v>51</v>
      </c>
      <c r="AH58" s="258" t="s">
        <v>505</v>
      </c>
      <c r="AI58" s="313">
        <v>0.3</v>
      </c>
      <c r="AJ58" s="272"/>
      <c r="AK58" s="273"/>
      <c r="AT58" s="462">
        <v>51</v>
      </c>
      <c r="AU58" s="472"/>
      <c r="AV58" s="473">
        <v>0.4</v>
      </c>
      <c r="AW58" s="479">
        <v>0.8</v>
      </c>
    </row>
    <row r="59" spans="1:49" ht="12.75">
      <c r="A59" s="233">
        <v>3</v>
      </c>
      <c r="B59" s="304">
        <v>50</v>
      </c>
      <c r="C59" s="290">
        <v>300</v>
      </c>
      <c r="D59" s="288">
        <v>150</v>
      </c>
      <c r="E59" s="290">
        <v>100</v>
      </c>
      <c r="F59" s="289">
        <f t="shared" si="0"/>
        <v>75</v>
      </c>
      <c r="G59" s="290">
        <f t="shared" si="1"/>
        <v>60</v>
      </c>
      <c r="H59" s="290">
        <v>38</v>
      </c>
      <c r="I59" s="290">
        <v>25</v>
      </c>
      <c r="J59" s="288">
        <v>0.0008</v>
      </c>
      <c r="K59" s="305">
        <v>0.714</v>
      </c>
      <c r="L59" s="290">
        <v>0.5</v>
      </c>
      <c r="M59">
        <f t="shared" si="2"/>
        <v>60</v>
      </c>
      <c r="N59" s="291">
        <f t="shared" si="3"/>
        <v>75</v>
      </c>
      <c r="O59" s="291">
        <f t="shared" si="4"/>
        <v>37.5</v>
      </c>
      <c r="P59" s="291">
        <f t="shared" si="5"/>
        <v>25</v>
      </c>
      <c r="S59" s="265">
        <v>52</v>
      </c>
      <c r="T59" s="266"/>
      <c r="U59" s="266"/>
      <c r="V59" s="266">
        <v>0.3</v>
      </c>
      <c r="W59" s="267">
        <v>0.7</v>
      </c>
      <c r="Z59" s="268">
        <v>52</v>
      </c>
      <c r="AA59" s="269"/>
      <c r="AB59" s="25">
        <v>0.71</v>
      </c>
      <c r="AC59" s="269"/>
      <c r="AD59" s="270"/>
      <c r="AG59" s="271">
        <v>52</v>
      </c>
      <c r="AH59" s="272"/>
      <c r="AI59" s="313">
        <v>0.3</v>
      </c>
      <c r="AJ59" s="272"/>
      <c r="AK59" s="273"/>
      <c r="AT59" s="462">
        <v>52</v>
      </c>
      <c r="AU59" s="472"/>
      <c r="AV59" s="473">
        <v>0.4</v>
      </c>
      <c r="AW59" s="479">
        <v>0.8</v>
      </c>
    </row>
    <row r="60" spans="1:49" ht="12.75">
      <c r="A60" s="233">
        <v>3</v>
      </c>
      <c r="B60" s="304">
        <v>51</v>
      </c>
      <c r="C60" s="290">
        <v>300</v>
      </c>
      <c r="D60" s="288">
        <v>150</v>
      </c>
      <c r="E60" s="290">
        <v>100</v>
      </c>
      <c r="F60" s="289">
        <f t="shared" si="0"/>
        <v>75</v>
      </c>
      <c r="G60" s="290">
        <f t="shared" si="1"/>
        <v>60</v>
      </c>
      <c r="H60" s="290">
        <v>38</v>
      </c>
      <c r="I60" s="290">
        <v>25</v>
      </c>
      <c r="J60" s="288">
        <v>0.0008</v>
      </c>
      <c r="K60" s="305">
        <v>0.714</v>
      </c>
      <c r="L60" s="290">
        <v>0.5</v>
      </c>
      <c r="M60">
        <f t="shared" si="2"/>
        <v>60</v>
      </c>
      <c r="N60" s="291">
        <f t="shared" si="3"/>
        <v>75</v>
      </c>
      <c r="O60" s="291">
        <f t="shared" si="4"/>
        <v>37.5</v>
      </c>
      <c r="P60" s="291">
        <f t="shared" si="5"/>
        <v>25</v>
      </c>
      <c r="S60" s="265">
        <v>53</v>
      </c>
      <c r="T60" s="266"/>
      <c r="U60" s="266"/>
      <c r="V60" s="266">
        <v>0.3</v>
      </c>
      <c r="W60" s="267">
        <v>0.7</v>
      </c>
      <c r="Z60" s="268">
        <v>53</v>
      </c>
      <c r="AA60" s="269"/>
      <c r="AB60" s="25">
        <v>0.71</v>
      </c>
      <c r="AC60" s="269"/>
      <c r="AD60" s="270"/>
      <c r="AG60" s="271">
        <v>53</v>
      </c>
      <c r="AH60" s="272"/>
      <c r="AI60" s="313">
        <v>0.3</v>
      </c>
      <c r="AJ60" s="272"/>
      <c r="AK60" s="273"/>
      <c r="AT60" s="462">
        <v>53</v>
      </c>
      <c r="AU60" s="472"/>
      <c r="AV60" s="473">
        <v>0.4</v>
      </c>
      <c r="AW60" s="479">
        <v>0.8</v>
      </c>
    </row>
    <row r="61" spans="1:49" ht="12.75">
      <c r="A61" s="233">
        <v>3</v>
      </c>
      <c r="B61" s="304">
        <v>52</v>
      </c>
      <c r="C61" s="290">
        <v>300</v>
      </c>
      <c r="D61" s="288">
        <v>150</v>
      </c>
      <c r="E61" s="290">
        <v>100</v>
      </c>
      <c r="F61" s="289">
        <f t="shared" si="0"/>
        <v>75</v>
      </c>
      <c r="G61" s="290">
        <f t="shared" si="1"/>
        <v>60</v>
      </c>
      <c r="H61" s="290">
        <v>38</v>
      </c>
      <c r="I61" s="290">
        <v>25</v>
      </c>
      <c r="J61" s="288">
        <v>0.0008</v>
      </c>
      <c r="K61" s="305">
        <v>0.714</v>
      </c>
      <c r="L61" s="290">
        <v>0.5</v>
      </c>
      <c r="M61">
        <f t="shared" si="2"/>
        <v>60</v>
      </c>
      <c r="N61" s="291">
        <f t="shared" si="3"/>
        <v>75</v>
      </c>
      <c r="O61" s="291">
        <f t="shared" si="4"/>
        <v>37.5</v>
      </c>
      <c r="P61" s="291">
        <f t="shared" si="5"/>
        <v>25</v>
      </c>
      <c r="S61" s="265">
        <v>54</v>
      </c>
      <c r="T61" s="266"/>
      <c r="U61" s="266"/>
      <c r="V61" s="266">
        <v>0.3</v>
      </c>
      <c r="W61" s="267">
        <v>0.7</v>
      </c>
      <c r="Z61" s="268">
        <v>54</v>
      </c>
      <c r="AA61" s="269"/>
      <c r="AB61" s="25">
        <v>0.71</v>
      </c>
      <c r="AC61" s="269"/>
      <c r="AD61" s="270"/>
      <c r="AG61" s="271">
        <v>54</v>
      </c>
      <c r="AH61" s="272"/>
      <c r="AI61" s="313">
        <v>0.3</v>
      </c>
      <c r="AJ61" s="272"/>
      <c r="AK61" s="273"/>
      <c r="AT61" s="462">
        <v>54</v>
      </c>
      <c r="AU61" s="472"/>
      <c r="AV61" s="473">
        <v>0.4</v>
      </c>
      <c r="AW61" s="479">
        <v>0.8</v>
      </c>
    </row>
    <row r="62" spans="1:49" ht="12.75">
      <c r="A62" s="233">
        <v>3</v>
      </c>
      <c r="B62" s="304">
        <v>53</v>
      </c>
      <c r="C62" s="290">
        <v>300</v>
      </c>
      <c r="D62" s="288">
        <v>150</v>
      </c>
      <c r="E62" s="290">
        <v>100</v>
      </c>
      <c r="F62" s="289">
        <f t="shared" si="0"/>
        <v>75</v>
      </c>
      <c r="G62" s="290">
        <f t="shared" si="1"/>
        <v>60</v>
      </c>
      <c r="H62" s="290">
        <v>38</v>
      </c>
      <c r="I62" s="290">
        <v>25</v>
      </c>
      <c r="J62" s="288">
        <v>0.0008</v>
      </c>
      <c r="K62" s="305">
        <v>0.714</v>
      </c>
      <c r="L62" s="290">
        <v>0.5</v>
      </c>
      <c r="M62">
        <f t="shared" si="2"/>
        <v>60</v>
      </c>
      <c r="N62" s="291">
        <f t="shared" si="3"/>
        <v>75</v>
      </c>
      <c r="O62" s="291">
        <f t="shared" si="4"/>
        <v>37.5</v>
      </c>
      <c r="P62" s="291">
        <f t="shared" si="5"/>
        <v>25</v>
      </c>
      <c r="S62" s="265">
        <v>55</v>
      </c>
      <c r="T62" s="266"/>
      <c r="U62" s="266"/>
      <c r="V62" s="266">
        <v>0.3</v>
      </c>
      <c r="W62" s="267">
        <v>0.7</v>
      </c>
      <c r="Z62" s="268">
        <v>55</v>
      </c>
      <c r="AA62" s="269"/>
      <c r="AB62" s="25">
        <v>0.71</v>
      </c>
      <c r="AC62" s="269"/>
      <c r="AD62" s="270"/>
      <c r="AG62" s="271">
        <v>55</v>
      </c>
      <c r="AH62" s="272"/>
      <c r="AI62" s="313">
        <v>0.3</v>
      </c>
      <c r="AJ62" s="272"/>
      <c r="AK62" s="273"/>
      <c r="AT62" s="462">
        <v>55</v>
      </c>
      <c r="AU62" s="472"/>
      <c r="AV62" s="473">
        <v>0.4</v>
      </c>
      <c r="AW62" s="479">
        <v>0.8</v>
      </c>
    </row>
    <row r="63" spans="1:49" ht="12.75">
      <c r="A63" s="233">
        <v>3</v>
      </c>
      <c r="B63" s="304">
        <v>54</v>
      </c>
      <c r="C63" s="290">
        <v>300</v>
      </c>
      <c r="D63" s="288">
        <v>150</v>
      </c>
      <c r="E63" s="290">
        <v>100</v>
      </c>
      <c r="F63" s="289">
        <f t="shared" si="0"/>
        <v>75</v>
      </c>
      <c r="G63" s="290">
        <f t="shared" si="1"/>
        <v>60</v>
      </c>
      <c r="H63" s="290">
        <v>38</v>
      </c>
      <c r="I63" s="290">
        <v>25</v>
      </c>
      <c r="J63" s="288">
        <v>0.0008</v>
      </c>
      <c r="K63" s="305">
        <v>0.714</v>
      </c>
      <c r="L63" s="290">
        <v>0.5</v>
      </c>
      <c r="M63">
        <f t="shared" si="2"/>
        <v>60</v>
      </c>
      <c r="N63" s="291">
        <f t="shared" si="3"/>
        <v>75</v>
      </c>
      <c r="O63" s="291">
        <f t="shared" si="4"/>
        <v>37.5</v>
      </c>
      <c r="P63" s="291">
        <f t="shared" si="5"/>
        <v>25</v>
      </c>
      <c r="S63" s="265">
        <v>56</v>
      </c>
      <c r="T63" s="266"/>
      <c r="U63" s="266"/>
      <c r="V63" s="266">
        <v>0.3</v>
      </c>
      <c r="W63" s="267">
        <v>0.7</v>
      </c>
      <c r="Z63" s="268">
        <v>56</v>
      </c>
      <c r="AA63" s="269"/>
      <c r="AB63" s="25">
        <v>0.71</v>
      </c>
      <c r="AC63" s="269"/>
      <c r="AD63" s="270"/>
      <c r="AG63" s="271">
        <v>56</v>
      </c>
      <c r="AH63" s="272"/>
      <c r="AI63" s="313">
        <v>0.3</v>
      </c>
      <c r="AJ63" s="272"/>
      <c r="AK63" s="273"/>
      <c r="AT63" s="462">
        <v>56</v>
      </c>
      <c r="AU63" s="472"/>
      <c r="AV63" s="473">
        <v>0.4</v>
      </c>
      <c r="AW63" s="479">
        <v>0.8</v>
      </c>
    </row>
    <row r="64" spans="1:49" ht="12.75">
      <c r="A64" s="233">
        <v>3</v>
      </c>
      <c r="B64" s="304">
        <v>55</v>
      </c>
      <c r="C64" s="290">
        <v>300</v>
      </c>
      <c r="D64" s="288">
        <v>150</v>
      </c>
      <c r="E64" s="290">
        <v>100</v>
      </c>
      <c r="F64" s="289">
        <f t="shared" si="0"/>
        <v>75</v>
      </c>
      <c r="G64" s="290">
        <f t="shared" si="1"/>
        <v>60</v>
      </c>
      <c r="H64" s="290">
        <v>38</v>
      </c>
      <c r="I64" s="290">
        <v>25</v>
      </c>
      <c r="J64" s="288">
        <v>0.0008</v>
      </c>
      <c r="K64" s="305">
        <v>0.714</v>
      </c>
      <c r="L64" s="290">
        <v>0.5</v>
      </c>
      <c r="M64">
        <f t="shared" si="2"/>
        <v>60</v>
      </c>
      <c r="N64" s="291">
        <f t="shared" si="3"/>
        <v>75</v>
      </c>
      <c r="O64" s="291">
        <f t="shared" si="4"/>
        <v>37.5</v>
      </c>
      <c r="P64" s="291">
        <f t="shared" si="5"/>
        <v>25</v>
      </c>
      <c r="S64" s="265">
        <v>57</v>
      </c>
      <c r="T64" s="266"/>
      <c r="U64" s="266"/>
      <c r="V64" s="266">
        <v>0.3</v>
      </c>
      <c r="W64" s="267">
        <v>0.7</v>
      </c>
      <c r="Z64" s="268">
        <v>57</v>
      </c>
      <c r="AA64" s="269"/>
      <c r="AB64" s="25">
        <v>0.71</v>
      </c>
      <c r="AC64" s="269"/>
      <c r="AD64" s="270"/>
      <c r="AG64" s="271">
        <v>57</v>
      </c>
      <c r="AH64" s="272"/>
      <c r="AI64" s="313">
        <v>0.3</v>
      </c>
      <c r="AJ64" s="272"/>
      <c r="AK64" s="273"/>
      <c r="AT64" s="462">
        <v>57</v>
      </c>
      <c r="AU64" s="472"/>
      <c r="AV64" s="473">
        <v>0.4</v>
      </c>
      <c r="AW64" s="479">
        <v>0.8</v>
      </c>
    </row>
    <row r="65" spans="1:49" ht="12.75">
      <c r="A65" s="233">
        <v>3</v>
      </c>
      <c r="B65" s="304">
        <v>56</v>
      </c>
      <c r="C65" s="290">
        <v>300</v>
      </c>
      <c r="D65" s="288">
        <v>150</v>
      </c>
      <c r="E65" s="290">
        <v>100</v>
      </c>
      <c r="F65" s="289">
        <f t="shared" si="0"/>
        <v>75</v>
      </c>
      <c r="G65" s="290">
        <f t="shared" si="1"/>
        <v>60</v>
      </c>
      <c r="H65" s="290">
        <v>38</v>
      </c>
      <c r="I65" s="290">
        <v>25</v>
      </c>
      <c r="J65" s="288">
        <v>0.0008</v>
      </c>
      <c r="K65" s="305">
        <v>0.714</v>
      </c>
      <c r="L65" s="290">
        <v>0.5</v>
      </c>
      <c r="M65">
        <f t="shared" si="2"/>
        <v>60</v>
      </c>
      <c r="N65" s="291">
        <f t="shared" si="3"/>
        <v>75</v>
      </c>
      <c r="O65" s="291">
        <f t="shared" si="4"/>
        <v>37.5</v>
      </c>
      <c r="P65" s="291">
        <f t="shared" si="5"/>
        <v>25</v>
      </c>
      <c r="S65" s="265">
        <v>58</v>
      </c>
      <c r="T65" s="266"/>
      <c r="U65" s="266"/>
      <c r="V65" s="266">
        <v>0.3</v>
      </c>
      <c r="W65" s="267">
        <v>0.7</v>
      </c>
      <c r="Z65" s="268">
        <v>58</v>
      </c>
      <c r="AA65" s="269"/>
      <c r="AB65" s="25">
        <v>0.71</v>
      </c>
      <c r="AC65" s="269"/>
      <c r="AD65" s="270"/>
      <c r="AG65" s="271">
        <v>58</v>
      </c>
      <c r="AH65" s="272"/>
      <c r="AI65" s="313">
        <v>0.3</v>
      </c>
      <c r="AJ65" s="272"/>
      <c r="AK65" s="273"/>
      <c r="AT65" s="462">
        <v>58</v>
      </c>
      <c r="AU65" s="472"/>
      <c r="AV65" s="473">
        <v>0.4</v>
      </c>
      <c r="AW65" s="479">
        <v>0.8</v>
      </c>
    </row>
    <row r="66" spans="1:49" ht="12.75">
      <c r="A66" s="233">
        <v>3</v>
      </c>
      <c r="B66" s="304">
        <v>57</v>
      </c>
      <c r="C66" s="290">
        <v>300</v>
      </c>
      <c r="D66" s="288">
        <v>150</v>
      </c>
      <c r="E66" s="290">
        <v>100</v>
      </c>
      <c r="F66" s="289">
        <f t="shared" si="0"/>
        <v>75</v>
      </c>
      <c r="G66" s="290">
        <f t="shared" si="1"/>
        <v>60</v>
      </c>
      <c r="H66" s="290">
        <v>38</v>
      </c>
      <c r="I66" s="290">
        <v>25</v>
      </c>
      <c r="J66" s="288">
        <v>0.0008</v>
      </c>
      <c r="K66" s="305">
        <v>0.714</v>
      </c>
      <c r="L66" s="290">
        <v>0.5</v>
      </c>
      <c r="M66">
        <f t="shared" si="2"/>
        <v>60</v>
      </c>
      <c r="N66" s="291">
        <f t="shared" si="3"/>
        <v>75</v>
      </c>
      <c r="O66" s="291">
        <f t="shared" si="4"/>
        <v>37.5</v>
      </c>
      <c r="P66" s="291">
        <f t="shared" si="5"/>
        <v>25</v>
      </c>
      <c r="S66" s="265">
        <v>59</v>
      </c>
      <c r="T66" s="266"/>
      <c r="U66" s="266"/>
      <c r="V66" s="266">
        <v>0.3</v>
      </c>
      <c r="W66" s="267">
        <v>0.7</v>
      </c>
      <c r="Z66" s="268">
        <v>59</v>
      </c>
      <c r="AA66" s="269"/>
      <c r="AB66" s="25">
        <v>0.71</v>
      </c>
      <c r="AC66" s="269"/>
      <c r="AD66" s="270"/>
      <c r="AG66" s="314">
        <v>59</v>
      </c>
      <c r="AH66" s="315"/>
      <c r="AI66" s="316">
        <v>0.3</v>
      </c>
      <c r="AJ66" s="315"/>
      <c r="AK66" s="317"/>
      <c r="AT66" s="462">
        <v>59</v>
      </c>
      <c r="AU66" s="472"/>
      <c r="AV66" s="473">
        <v>0.4</v>
      </c>
      <c r="AW66" s="479">
        <v>0.8</v>
      </c>
    </row>
    <row r="67" spans="1:49" ht="13.5" thickBot="1">
      <c r="A67" s="233">
        <v>3</v>
      </c>
      <c r="B67" s="304">
        <v>58</v>
      </c>
      <c r="C67" s="290">
        <v>300</v>
      </c>
      <c r="D67" s="288">
        <v>150</v>
      </c>
      <c r="E67" s="290">
        <v>100</v>
      </c>
      <c r="F67" s="289">
        <f t="shared" si="0"/>
        <v>75</v>
      </c>
      <c r="G67" s="290">
        <f t="shared" si="1"/>
        <v>60</v>
      </c>
      <c r="H67" s="290">
        <v>38</v>
      </c>
      <c r="I67" s="290">
        <v>25</v>
      </c>
      <c r="J67" s="288">
        <v>0.0008</v>
      </c>
      <c r="K67" s="305">
        <v>0.714</v>
      </c>
      <c r="L67" s="290">
        <v>0.5</v>
      </c>
      <c r="M67">
        <f t="shared" si="2"/>
        <v>60</v>
      </c>
      <c r="N67" s="291">
        <f t="shared" si="3"/>
        <v>75</v>
      </c>
      <c r="O67" s="291">
        <f t="shared" si="4"/>
        <v>37.5</v>
      </c>
      <c r="P67" s="291">
        <f t="shared" si="5"/>
        <v>25</v>
      </c>
      <c r="S67" s="274">
        <v>60</v>
      </c>
      <c r="T67" s="275"/>
      <c r="U67" s="275"/>
      <c r="V67" s="275">
        <v>0.3</v>
      </c>
      <c r="W67" s="276">
        <v>0.7</v>
      </c>
      <c r="Z67" s="268">
        <v>60</v>
      </c>
      <c r="AA67" s="269"/>
      <c r="AB67" s="25">
        <v>0.71</v>
      </c>
      <c r="AC67" s="269"/>
      <c r="AD67" s="270"/>
      <c r="AG67" s="271">
        <v>60</v>
      </c>
      <c r="AH67" s="272"/>
      <c r="AI67" s="313">
        <v>0.2</v>
      </c>
      <c r="AJ67" s="272"/>
      <c r="AK67" s="273"/>
      <c r="AT67" s="462">
        <v>60</v>
      </c>
      <c r="AU67" s="458"/>
      <c r="AV67" s="459">
        <v>0.4</v>
      </c>
      <c r="AW67" s="480">
        <v>0.8</v>
      </c>
    </row>
    <row r="68" spans="1:49" ht="12.75">
      <c r="A68" s="233">
        <v>3</v>
      </c>
      <c r="B68" s="304">
        <v>59</v>
      </c>
      <c r="C68" s="290">
        <v>300</v>
      </c>
      <c r="D68" s="288">
        <v>150</v>
      </c>
      <c r="E68" s="290">
        <v>100</v>
      </c>
      <c r="F68" s="289">
        <f t="shared" si="0"/>
        <v>75</v>
      </c>
      <c r="G68" s="290">
        <f t="shared" si="1"/>
        <v>60</v>
      </c>
      <c r="H68" s="290">
        <v>38</v>
      </c>
      <c r="I68" s="290">
        <v>25</v>
      </c>
      <c r="J68" s="288">
        <v>0.0008</v>
      </c>
      <c r="K68" s="305">
        <v>0.714</v>
      </c>
      <c r="L68" s="290">
        <v>0.5</v>
      </c>
      <c r="M68">
        <f t="shared" si="2"/>
        <v>60</v>
      </c>
      <c r="N68" s="291">
        <f t="shared" si="3"/>
        <v>75</v>
      </c>
      <c r="O68" s="291">
        <f t="shared" si="4"/>
        <v>37.5</v>
      </c>
      <c r="P68" s="291">
        <f t="shared" si="5"/>
        <v>25</v>
      </c>
      <c r="S68" s="280">
        <v>61</v>
      </c>
      <c r="T68" s="281" t="s">
        <v>506</v>
      </c>
      <c r="U68" s="292">
        <v>0.2</v>
      </c>
      <c r="V68" s="252">
        <v>0.2</v>
      </c>
      <c r="W68" s="253">
        <v>0.8</v>
      </c>
      <c r="Z68" s="293">
        <v>61</v>
      </c>
      <c r="AA68" s="269"/>
      <c r="AB68" s="25">
        <v>0.71</v>
      </c>
      <c r="AC68" s="269"/>
      <c r="AD68" s="270"/>
      <c r="AG68" s="294">
        <v>61</v>
      </c>
      <c r="AH68" s="272"/>
      <c r="AI68" s="313">
        <v>0.2</v>
      </c>
      <c r="AJ68" s="272"/>
      <c r="AK68" s="273"/>
      <c r="AT68" s="464">
        <v>61</v>
      </c>
      <c r="AU68" s="472" t="s">
        <v>596</v>
      </c>
      <c r="AV68" s="473">
        <v>0.4</v>
      </c>
      <c r="AW68" s="479">
        <v>0.6</v>
      </c>
    </row>
    <row r="69" spans="1:49" ht="13.5" customHeight="1">
      <c r="A69" s="233">
        <v>3</v>
      </c>
      <c r="B69" s="304">
        <v>60</v>
      </c>
      <c r="C69" s="290">
        <v>300</v>
      </c>
      <c r="D69" s="288">
        <v>150</v>
      </c>
      <c r="E69" s="290">
        <v>100</v>
      </c>
      <c r="F69" s="289">
        <f t="shared" si="0"/>
        <v>75</v>
      </c>
      <c r="G69" s="290">
        <f t="shared" si="1"/>
        <v>60</v>
      </c>
      <c r="H69" s="290">
        <v>38</v>
      </c>
      <c r="I69" s="290">
        <v>25</v>
      </c>
      <c r="J69" s="288">
        <v>0.0008</v>
      </c>
      <c r="K69" s="305">
        <v>0.714</v>
      </c>
      <c r="L69" s="290">
        <v>0.5</v>
      </c>
      <c r="M69">
        <f t="shared" si="2"/>
        <v>60</v>
      </c>
      <c r="N69" s="291">
        <f t="shared" si="3"/>
        <v>75</v>
      </c>
      <c r="O69" s="291">
        <f t="shared" si="4"/>
        <v>37.5</v>
      </c>
      <c r="P69" s="291">
        <f t="shared" si="5"/>
        <v>25</v>
      </c>
      <c r="S69" s="265">
        <v>62</v>
      </c>
      <c r="T69" s="286" t="s">
        <v>507</v>
      </c>
      <c r="U69" s="266"/>
      <c r="V69" s="266">
        <v>0.2</v>
      </c>
      <c r="W69" s="267">
        <v>0.8</v>
      </c>
      <c r="Z69" s="268">
        <v>62</v>
      </c>
      <c r="AA69" s="269"/>
      <c r="AB69" s="25">
        <v>0.71</v>
      </c>
      <c r="AC69" s="269"/>
      <c r="AD69" s="270"/>
      <c r="AG69" s="271">
        <v>62</v>
      </c>
      <c r="AH69" s="272"/>
      <c r="AI69" s="313">
        <v>0.2</v>
      </c>
      <c r="AJ69" s="272"/>
      <c r="AK69" s="273"/>
      <c r="AT69" s="465">
        <v>62</v>
      </c>
      <c r="AU69" s="472"/>
      <c r="AV69" s="473">
        <v>0.4</v>
      </c>
      <c r="AW69" s="479">
        <v>0.6</v>
      </c>
    </row>
    <row r="70" spans="1:49" ht="12.75">
      <c r="A70" s="233">
        <v>4</v>
      </c>
      <c r="B70" s="318">
        <v>61</v>
      </c>
      <c r="C70" s="319">
        <v>330</v>
      </c>
      <c r="D70" s="319">
        <v>165</v>
      </c>
      <c r="E70" s="319">
        <v>110</v>
      </c>
      <c r="F70" s="320">
        <v>163</v>
      </c>
      <c r="G70" s="321">
        <v>130</v>
      </c>
      <c r="H70" s="321">
        <v>82</v>
      </c>
      <c r="I70" s="321">
        <v>55</v>
      </c>
      <c r="J70" s="322">
        <v>0.00073</v>
      </c>
      <c r="K70" s="323">
        <v>0.568</v>
      </c>
      <c r="L70" s="321">
        <v>0.455</v>
      </c>
      <c r="M70">
        <f t="shared" si="2"/>
        <v>66</v>
      </c>
      <c r="N70" s="291">
        <f t="shared" si="3"/>
        <v>82.5</v>
      </c>
      <c r="O70" s="291">
        <f t="shared" si="4"/>
        <v>41.25</v>
      </c>
      <c r="P70" s="291">
        <f t="shared" si="5"/>
        <v>27.5</v>
      </c>
      <c r="S70" s="265">
        <v>63</v>
      </c>
      <c r="T70" s="286" t="s">
        <v>508</v>
      </c>
      <c r="U70" s="266"/>
      <c r="V70" s="266">
        <v>0.2</v>
      </c>
      <c r="W70" s="267">
        <v>0.8</v>
      </c>
      <c r="Z70" s="268">
        <v>63</v>
      </c>
      <c r="AA70" s="269"/>
      <c r="AB70" s="25">
        <v>0.71</v>
      </c>
      <c r="AC70" s="269"/>
      <c r="AD70" s="270"/>
      <c r="AG70" s="271">
        <v>63</v>
      </c>
      <c r="AH70" s="272"/>
      <c r="AI70" s="313">
        <v>0.2</v>
      </c>
      <c r="AJ70" s="272"/>
      <c r="AK70" s="273"/>
      <c r="AT70" s="465">
        <v>63</v>
      </c>
      <c r="AU70" s="472"/>
      <c r="AV70" s="473">
        <v>0.4</v>
      </c>
      <c r="AW70" s="479">
        <v>0.6</v>
      </c>
    </row>
    <row r="71" spans="1:49" ht="13.5" thickBot="1">
      <c r="A71" s="233">
        <v>4</v>
      </c>
      <c r="B71" s="324">
        <v>62</v>
      </c>
      <c r="C71" s="236">
        <v>350</v>
      </c>
      <c r="D71" s="236">
        <v>175</v>
      </c>
      <c r="E71" s="236">
        <v>117</v>
      </c>
      <c r="F71" s="295">
        <v>163</v>
      </c>
      <c r="G71" s="236">
        <v>130</v>
      </c>
      <c r="H71" s="236">
        <v>82</v>
      </c>
      <c r="I71" s="236">
        <v>55</v>
      </c>
      <c r="J71" s="236">
        <v>0.00069</v>
      </c>
      <c r="K71" s="325">
        <v>0.536</v>
      </c>
      <c r="L71" s="236">
        <v>0.429</v>
      </c>
      <c r="M71">
        <f t="shared" si="2"/>
        <v>70</v>
      </c>
      <c r="N71" s="291">
        <f t="shared" si="3"/>
        <v>87.5</v>
      </c>
      <c r="O71" s="291">
        <f t="shared" si="4"/>
        <v>43.75</v>
      </c>
      <c r="P71" s="291">
        <f t="shared" si="5"/>
        <v>29.166666666666668</v>
      </c>
      <c r="S71" s="265">
        <v>64</v>
      </c>
      <c r="T71" s="266"/>
      <c r="U71" s="266"/>
      <c r="V71" s="266">
        <v>0.2</v>
      </c>
      <c r="W71" s="267">
        <v>0.8</v>
      </c>
      <c r="Z71" s="277">
        <v>64</v>
      </c>
      <c r="AA71" s="278"/>
      <c r="AB71" s="25">
        <v>0.71</v>
      </c>
      <c r="AC71" s="278"/>
      <c r="AD71" s="279"/>
      <c r="AG71" s="271">
        <v>64</v>
      </c>
      <c r="AH71" s="272"/>
      <c r="AI71" s="313">
        <v>0.2</v>
      </c>
      <c r="AJ71" s="272"/>
      <c r="AK71" s="273"/>
      <c r="AT71" s="465">
        <v>64</v>
      </c>
      <c r="AU71" s="472"/>
      <c r="AV71" s="473">
        <v>0.4</v>
      </c>
      <c r="AW71" s="479">
        <v>0.6</v>
      </c>
    </row>
    <row r="72" spans="1:49" ht="12.75">
      <c r="A72" s="233">
        <v>4</v>
      </c>
      <c r="B72" s="324">
        <v>63</v>
      </c>
      <c r="C72" s="236">
        <v>350</v>
      </c>
      <c r="D72" s="236">
        <v>175</v>
      </c>
      <c r="E72" s="236">
        <v>117</v>
      </c>
      <c r="F72" s="295">
        <v>163</v>
      </c>
      <c r="G72" s="236">
        <v>130</v>
      </c>
      <c r="H72" s="236">
        <v>82</v>
      </c>
      <c r="I72" s="236">
        <v>55</v>
      </c>
      <c r="J72" s="236">
        <v>0.00069</v>
      </c>
      <c r="K72" s="325">
        <v>0.536</v>
      </c>
      <c r="L72" s="236">
        <v>0.429</v>
      </c>
      <c r="M72">
        <f t="shared" si="2"/>
        <v>70</v>
      </c>
      <c r="N72" s="291">
        <f t="shared" si="3"/>
        <v>87.5</v>
      </c>
      <c r="O72" s="291">
        <f t="shared" si="4"/>
        <v>43.75</v>
      </c>
      <c r="P72" s="291">
        <f t="shared" si="5"/>
        <v>29.166666666666668</v>
      </c>
      <c r="S72" s="265">
        <v>65</v>
      </c>
      <c r="T72" s="266"/>
      <c r="U72" s="266"/>
      <c r="V72" s="266">
        <v>0.2</v>
      </c>
      <c r="W72" s="267">
        <v>0.8</v>
      </c>
      <c r="Z72" s="254">
        <v>65</v>
      </c>
      <c r="AA72" s="296" t="s">
        <v>507</v>
      </c>
      <c r="AB72" s="255">
        <v>0.36</v>
      </c>
      <c r="AC72" s="255"/>
      <c r="AD72" s="256"/>
      <c r="AG72" s="271">
        <v>65</v>
      </c>
      <c r="AH72" s="272"/>
      <c r="AI72" s="313">
        <v>0.2</v>
      </c>
      <c r="AJ72" s="272"/>
      <c r="AK72" s="273"/>
      <c r="AT72" s="466">
        <v>65</v>
      </c>
      <c r="AU72" s="472"/>
      <c r="AV72" s="473">
        <v>0.4</v>
      </c>
      <c r="AW72" s="479">
        <v>0.6</v>
      </c>
    </row>
    <row r="73" spans="1:49" ht="12.75">
      <c r="A73" s="233">
        <v>4</v>
      </c>
      <c r="B73" s="324">
        <v>64</v>
      </c>
      <c r="C73" s="236">
        <v>350</v>
      </c>
      <c r="D73" s="236">
        <v>175</v>
      </c>
      <c r="E73" s="236">
        <v>117</v>
      </c>
      <c r="F73" s="295">
        <v>163</v>
      </c>
      <c r="G73" s="236">
        <v>130</v>
      </c>
      <c r="H73" s="236">
        <v>82</v>
      </c>
      <c r="I73" s="236">
        <v>55</v>
      </c>
      <c r="J73" s="236">
        <v>0.00069</v>
      </c>
      <c r="K73" s="325">
        <v>0.536</v>
      </c>
      <c r="L73" s="236">
        <v>0.429</v>
      </c>
      <c r="M73">
        <f t="shared" si="2"/>
        <v>70</v>
      </c>
      <c r="N73" s="291">
        <f t="shared" si="3"/>
        <v>87.5</v>
      </c>
      <c r="O73" s="291">
        <f t="shared" si="4"/>
        <v>43.75</v>
      </c>
      <c r="P73" s="291">
        <f t="shared" si="5"/>
        <v>29.166666666666668</v>
      </c>
      <c r="S73" s="265">
        <v>66</v>
      </c>
      <c r="T73" s="266"/>
      <c r="U73" s="266"/>
      <c r="V73" s="266">
        <v>0.2</v>
      </c>
      <c r="W73" s="267">
        <v>0.8</v>
      </c>
      <c r="Z73" s="268">
        <v>66</v>
      </c>
      <c r="AA73" s="284" t="s">
        <v>508</v>
      </c>
      <c r="AB73" s="25">
        <v>0.36</v>
      </c>
      <c r="AC73" s="269"/>
      <c r="AD73" s="270"/>
      <c r="AG73" s="271">
        <v>66</v>
      </c>
      <c r="AH73" s="272"/>
      <c r="AI73" s="313">
        <v>0.2</v>
      </c>
      <c r="AJ73" s="272"/>
      <c r="AK73" s="273"/>
      <c r="AT73" s="465">
        <v>66</v>
      </c>
      <c r="AU73" s="472"/>
      <c r="AV73" s="473">
        <v>0.4</v>
      </c>
      <c r="AW73" s="479">
        <v>0.6</v>
      </c>
    </row>
    <row r="74" spans="1:49" ht="12.75">
      <c r="A74" s="233">
        <v>4</v>
      </c>
      <c r="B74" s="326">
        <v>65</v>
      </c>
      <c r="C74" s="327">
        <v>350</v>
      </c>
      <c r="D74" s="327">
        <v>175</v>
      </c>
      <c r="E74" s="327">
        <v>117</v>
      </c>
      <c r="F74" s="328">
        <v>163</v>
      </c>
      <c r="G74" s="329">
        <v>130</v>
      </c>
      <c r="H74" s="329">
        <v>82</v>
      </c>
      <c r="I74" s="329">
        <v>55</v>
      </c>
      <c r="J74" s="330">
        <v>0.00069</v>
      </c>
      <c r="K74" s="331">
        <v>0.536</v>
      </c>
      <c r="L74" s="329">
        <v>0.429</v>
      </c>
      <c r="M74">
        <f t="shared" si="2"/>
        <v>70</v>
      </c>
      <c r="N74" s="291">
        <f t="shared" si="3"/>
        <v>87.5</v>
      </c>
      <c r="O74" s="291">
        <f t="shared" si="4"/>
        <v>43.75</v>
      </c>
      <c r="P74" s="291">
        <f t="shared" si="5"/>
        <v>29.166666666666668</v>
      </c>
      <c r="S74" s="265">
        <v>67</v>
      </c>
      <c r="T74" s="266"/>
      <c r="U74" s="266"/>
      <c r="V74" s="266">
        <v>0.2</v>
      </c>
      <c r="W74" s="267">
        <v>0.8</v>
      </c>
      <c r="Z74" s="268">
        <v>67</v>
      </c>
      <c r="AA74" s="25"/>
      <c r="AB74" s="25">
        <v>0.36</v>
      </c>
      <c r="AC74" s="269"/>
      <c r="AD74" s="270"/>
      <c r="AG74" s="271">
        <v>67</v>
      </c>
      <c r="AH74" s="241"/>
      <c r="AI74" s="313">
        <v>0.2</v>
      </c>
      <c r="AJ74" s="272"/>
      <c r="AK74" s="273"/>
      <c r="AT74" s="465">
        <v>67</v>
      </c>
      <c r="AU74" s="472"/>
      <c r="AV74" s="473">
        <v>0.4</v>
      </c>
      <c r="AW74" s="479">
        <v>0.6</v>
      </c>
    </row>
    <row r="75" spans="1:49" ht="12.75">
      <c r="A75" s="233">
        <v>4</v>
      </c>
      <c r="B75" s="324">
        <v>66</v>
      </c>
      <c r="C75" s="332">
        <v>370</v>
      </c>
      <c r="D75" s="332">
        <v>185</v>
      </c>
      <c r="E75" s="332">
        <v>123</v>
      </c>
      <c r="F75" s="295">
        <v>163</v>
      </c>
      <c r="G75" s="236">
        <v>130</v>
      </c>
      <c r="H75" s="236">
        <v>82</v>
      </c>
      <c r="I75" s="236">
        <v>55</v>
      </c>
      <c r="J75" s="332">
        <v>0.00065</v>
      </c>
      <c r="K75" s="333">
        <v>0.507</v>
      </c>
      <c r="L75" s="332">
        <v>0.405</v>
      </c>
      <c r="M75">
        <f t="shared" si="2"/>
        <v>74</v>
      </c>
      <c r="N75" s="291">
        <f t="shared" si="3"/>
        <v>92.5</v>
      </c>
      <c r="O75" s="291">
        <f t="shared" si="4"/>
        <v>46.25</v>
      </c>
      <c r="P75" s="291">
        <f t="shared" si="5"/>
        <v>30.833333333333332</v>
      </c>
      <c r="S75" s="265">
        <v>68</v>
      </c>
      <c r="T75" s="266"/>
      <c r="U75" s="266"/>
      <c r="V75" s="266">
        <v>0.2</v>
      </c>
      <c r="W75" s="267">
        <v>0.8</v>
      </c>
      <c r="Z75" s="268">
        <v>68</v>
      </c>
      <c r="AA75" s="269"/>
      <c r="AB75" s="25">
        <v>0.36</v>
      </c>
      <c r="AC75" s="269"/>
      <c r="AD75" s="270"/>
      <c r="AG75" s="271">
        <v>68</v>
      </c>
      <c r="AH75" s="272"/>
      <c r="AI75" s="313">
        <v>0.2</v>
      </c>
      <c r="AJ75" s="272"/>
      <c r="AK75" s="273"/>
      <c r="AT75" s="465">
        <v>68</v>
      </c>
      <c r="AU75" s="472"/>
      <c r="AV75" s="473">
        <v>0.4</v>
      </c>
      <c r="AW75" s="479">
        <v>0.6</v>
      </c>
    </row>
    <row r="76" spans="1:49" ht="12.75">
      <c r="A76" s="233">
        <v>4</v>
      </c>
      <c r="B76" s="324">
        <v>67</v>
      </c>
      <c r="C76" s="332">
        <v>370</v>
      </c>
      <c r="D76" s="332">
        <v>185</v>
      </c>
      <c r="E76" s="332">
        <v>123</v>
      </c>
      <c r="F76" s="295">
        <v>163</v>
      </c>
      <c r="G76" s="236">
        <v>130</v>
      </c>
      <c r="H76" s="236">
        <v>82</v>
      </c>
      <c r="I76" s="236">
        <v>55</v>
      </c>
      <c r="J76" s="332">
        <v>0.00065</v>
      </c>
      <c r="K76" s="333">
        <v>0.507</v>
      </c>
      <c r="L76" s="332">
        <v>0.405</v>
      </c>
      <c r="M76">
        <f t="shared" si="2"/>
        <v>74</v>
      </c>
      <c r="N76" s="291">
        <f t="shared" si="3"/>
        <v>92.5</v>
      </c>
      <c r="O76" s="291">
        <f t="shared" si="4"/>
        <v>46.25</v>
      </c>
      <c r="P76" s="291">
        <f t="shared" si="5"/>
        <v>30.833333333333332</v>
      </c>
      <c r="S76" s="265">
        <v>69</v>
      </c>
      <c r="T76" s="266"/>
      <c r="U76" s="266"/>
      <c r="V76" s="266">
        <v>0.2</v>
      </c>
      <c r="W76" s="267">
        <v>0.8</v>
      </c>
      <c r="Z76" s="268">
        <v>69</v>
      </c>
      <c r="AA76" s="269"/>
      <c r="AB76" s="25">
        <v>0.36</v>
      </c>
      <c r="AC76" s="269"/>
      <c r="AD76" s="270"/>
      <c r="AG76" s="314">
        <v>69</v>
      </c>
      <c r="AH76" s="315"/>
      <c r="AI76" s="316">
        <v>0.2</v>
      </c>
      <c r="AJ76" s="315"/>
      <c r="AK76" s="317"/>
      <c r="AT76" s="465">
        <v>69</v>
      </c>
      <c r="AU76" s="472"/>
      <c r="AV76" s="473">
        <v>0.4</v>
      </c>
      <c r="AW76" s="479">
        <v>0.6</v>
      </c>
    </row>
    <row r="77" spans="1:49" ht="12.75">
      <c r="A77" s="233">
        <v>4</v>
      </c>
      <c r="B77" s="324">
        <v>68</v>
      </c>
      <c r="C77" s="332">
        <v>370</v>
      </c>
      <c r="D77" s="332">
        <v>185</v>
      </c>
      <c r="E77" s="332">
        <v>123</v>
      </c>
      <c r="F77" s="295">
        <v>163</v>
      </c>
      <c r="G77" s="236">
        <v>130</v>
      </c>
      <c r="H77" s="236">
        <v>82</v>
      </c>
      <c r="I77" s="236">
        <v>55</v>
      </c>
      <c r="J77" s="332">
        <v>0.00065</v>
      </c>
      <c r="K77" s="333">
        <v>0.507</v>
      </c>
      <c r="L77" s="332">
        <v>0.405</v>
      </c>
      <c r="M77">
        <f t="shared" si="2"/>
        <v>74</v>
      </c>
      <c r="N77" s="291">
        <f t="shared" si="3"/>
        <v>92.5</v>
      </c>
      <c r="O77" s="291">
        <f t="shared" si="4"/>
        <v>46.25</v>
      </c>
      <c r="P77" s="291">
        <f t="shared" si="5"/>
        <v>30.833333333333332</v>
      </c>
      <c r="S77" s="265">
        <v>70</v>
      </c>
      <c r="T77" s="266"/>
      <c r="U77" s="266"/>
      <c r="V77" s="266">
        <v>0.2</v>
      </c>
      <c r="W77" s="267">
        <v>0.8</v>
      </c>
      <c r="Z77" s="268">
        <v>70</v>
      </c>
      <c r="AA77" s="269"/>
      <c r="AB77" s="25">
        <v>0.36</v>
      </c>
      <c r="AC77" s="269"/>
      <c r="AD77" s="270"/>
      <c r="AG77" s="271">
        <v>70</v>
      </c>
      <c r="AH77" s="272"/>
      <c r="AI77" s="313">
        <v>0.1</v>
      </c>
      <c r="AJ77" s="272"/>
      <c r="AK77" s="273"/>
      <c r="AT77" s="466">
        <v>70</v>
      </c>
      <c r="AU77" s="472"/>
      <c r="AV77" s="473">
        <v>0.4</v>
      </c>
      <c r="AW77" s="479">
        <v>0.6</v>
      </c>
    </row>
    <row r="78" spans="1:49" ht="12.75">
      <c r="A78" s="233">
        <v>4</v>
      </c>
      <c r="B78" s="324">
        <v>69</v>
      </c>
      <c r="C78" s="332">
        <v>370</v>
      </c>
      <c r="D78" s="332">
        <v>185</v>
      </c>
      <c r="E78" s="332">
        <v>123</v>
      </c>
      <c r="F78" s="295">
        <v>163</v>
      </c>
      <c r="G78" s="236">
        <v>130</v>
      </c>
      <c r="H78" s="236">
        <v>82</v>
      </c>
      <c r="I78" s="236">
        <v>55</v>
      </c>
      <c r="J78" s="332">
        <v>0.00065</v>
      </c>
      <c r="K78" s="333">
        <v>0.507</v>
      </c>
      <c r="L78" s="332">
        <v>0.405</v>
      </c>
      <c r="M78">
        <f t="shared" si="2"/>
        <v>74</v>
      </c>
      <c r="N78" s="291">
        <f t="shared" si="3"/>
        <v>92.5</v>
      </c>
      <c r="O78" s="291">
        <f t="shared" si="4"/>
        <v>46.25</v>
      </c>
      <c r="P78" s="291">
        <f t="shared" si="5"/>
        <v>30.833333333333332</v>
      </c>
      <c r="S78" s="265">
        <v>71</v>
      </c>
      <c r="T78" s="266"/>
      <c r="U78" s="266"/>
      <c r="V78" s="266">
        <v>0.2</v>
      </c>
      <c r="W78" s="267">
        <v>0.8</v>
      </c>
      <c r="Z78" s="268">
        <v>71</v>
      </c>
      <c r="AA78" s="269"/>
      <c r="AB78" s="25">
        <v>0.36</v>
      </c>
      <c r="AC78" s="269"/>
      <c r="AD78" s="270"/>
      <c r="AG78" s="271">
        <v>71</v>
      </c>
      <c r="AH78" s="272"/>
      <c r="AI78" s="313">
        <v>0.1</v>
      </c>
      <c r="AJ78" s="272"/>
      <c r="AK78" s="273"/>
      <c r="AT78" s="465">
        <v>71</v>
      </c>
      <c r="AU78" s="472"/>
      <c r="AV78" s="473">
        <v>0.4</v>
      </c>
      <c r="AW78" s="479">
        <v>0.6</v>
      </c>
    </row>
    <row r="79" spans="1:49" ht="12.75">
      <c r="A79" s="233">
        <v>4</v>
      </c>
      <c r="B79" s="326">
        <v>70</v>
      </c>
      <c r="C79" s="330">
        <v>370</v>
      </c>
      <c r="D79" s="330">
        <v>185</v>
      </c>
      <c r="E79" s="330">
        <v>123</v>
      </c>
      <c r="F79" s="328">
        <v>163</v>
      </c>
      <c r="G79" s="329">
        <v>130</v>
      </c>
      <c r="H79" s="329">
        <v>82</v>
      </c>
      <c r="I79" s="329">
        <v>55</v>
      </c>
      <c r="J79" s="330">
        <v>0.00065</v>
      </c>
      <c r="K79" s="334">
        <v>0.507</v>
      </c>
      <c r="L79" s="330">
        <v>0.405</v>
      </c>
      <c r="M79">
        <f aca="true" t="shared" si="6" ref="M79:M142">C79*0.2</f>
        <v>74</v>
      </c>
      <c r="N79" s="291">
        <f aca="true" t="shared" si="7" ref="N79:N142">C79*0.25</f>
        <v>92.5</v>
      </c>
      <c r="O79" s="291">
        <f aca="true" t="shared" si="8" ref="O79:O142">N79/2</f>
        <v>46.25</v>
      </c>
      <c r="P79" s="291">
        <f aca="true" t="shared" si="9" ref="P79:P142">N79/3</f>
        <v>30.833333333333332</v>
      </c>
      <c r="S79" s="265">
        <v>72</v>
      </c>
      <c r="T79" s="266"/>
      <c r="U79" s="266"/>
      <c r="V79" s="266">
        <v>0.2</v>
      </c>
      <c r="W79" s="267">
        <v>0.8</v>
      </c>
      <c r="Z79" s="268">
        <v>72</v>
      </c>
      <c r="AA79" s="269"/>
      <c r="AB79" s="25">
        <v>0.36</v>
      </c>
      <c r="AC79" s="269"/>
      <c r="AD79" s="270"/>
      <c r="AG79" s="271">
        <v>72</v>
      </c>
      <c r="AH79" s="272"/>
      <c r="AI79" s="313">
        <v>0.1</v>
      </c>
      <c r="AJ79" s="272"/>
      <c r="AK79" s="273"/>
      <c r="AT79" s="465">
        <v>72</v>
      </c>
      <c r="AU79" s="472"/>
      <c r="AV79" s="473">
        <v>0.4</v>
      </c>
      <c r="AW79" s="479">
        <v>0.6</v>
      </c>
    </row>
    <row r="80" spans="1:49" ht="12.75">
      <c r="A80" s="233">
        <v>4</v>
      </c>
      <c r="B80" s="324">
        <v>71</v>
      </c>
      <c r="C80" s="332">
        <v>390</v>
      </c>
      <c r="D80" s="332">
        <v>195</v>
      </c>
      <c r="E80" s="332">
        <v>130</v>
      </c>
      <c r="F80" s="295">
        <v>163</v>
      </c>
      <c r="G80" s="236">
        <v>130</v>
      </c>
      <c r="H80" s="236">
        <v>82</v>
      </c>
      <c r="I80" s="236">
        <v>55</v>
      </c>
      <c r="J80" s="332">
        <v>0.00062</v>
      </c>
      <c r="K80" s="333">
        <v>0.481</v>
      </c>
      <c r="L80" s="332">
        <v>0.385</v>
      </c>
      <c r="M80">
        <f t="shared" si="6"/>
        <v>78</v>
      </c>
      <c r="N80" s="291">
        <f t="shared" si="7"/>
        <v>97.5</v>
      </c>
      <c r="O80" s="291">
        <f t="shared" si="8"/>
        <v>48.75</v>
      </c>
      <c r="P80" s="291">
        <f t="shared" si="9"/>
        <v>32.5</v>
      </c>
      <c r="S80" s="265">
        <v>73</v>
      </c>
      <c r="T80" s="266"/>
      <c r="U80" s="266"/>
      <c r="V80" s="266">
        <v>0.2</v>
      </c>
      <c r="W80" s="267">
        <v>0.8</v>
      </c>
      <c r="Z80" s="268">
        <v>73</v>
      </c>
      <c r="AA80" s="269"/>
      <c r="AB80" s="25">
        <v>0.36</v>
      </c>
      <c r="AC80" s="269"/>
      <c r="AD80" s="270"/>
      <c r="AG80" s="271">
        <v>73</v>
      </c>
      <c r="AH80" s="272"/>
      <c r="AI80" s="313">
        <v>0.1</v>
      </c>
      <c r="AJ80" s="272"/>
      <c r="AK80" s="273"/>
      <c r="AT80" s="465">
        <v>73</v>
      </c>
      <c r="AU80" s="472"/>
      <c r="AV80" s="473">
        <v>0.4</v>
      </c>
      <c r="AW80" s="479">
        <v>0.6</v>
      </c>
    </row>
    <row r="81" spans="1:49" ht="12.75">
      <c r="A81" s="233">
        <v>4</v>
      </c>
      <c r="B81" s="324">
        <v>72</v>
      </c>
      <c r="C81" s="332">
        <v>390</v>
      </c>
      <c r="D81" s="332">
        <v>195</v>
      </c>
      <c r="E81" s="332">
        <v>130</v>
      </c>
      <c r="F81" s="295">
        <v>163</v>
      </c>
      <c r="G81" s="236">
        <v>130</v>
      </c>
      <c r="H81" s="236">
        <v>82</v>
      </c>
      <c r="I81" s="236">
        <v>55</v>
      </c>
      <c r="J81" s="332">
        <v>0.00062</v>
      </c>
      <c r="K81" s="333">
        <v>0.481</v>
      </c>
      <c r="L81" s="332">
        <v>0.385</v>
      </c>
      <c r="M81">
        <f t="shared" si="6"/>
        <v>78</v>
      </c>
      <c r="N81" s="291">
        <f t="shared" si="7"/>
        <v>97.5</v>
      </c>
      <c r="O81" s="291">
        <f t="shared" si="8"/>
        <v>48.75</v>
      </c>
      <c r="P81" s="291">
        <f t="shared" si="9"/>
        <v>32.5</v>
      </c>
      <c r="S81" s="265">
        <v>74</v>
      </c>
      <c r="T81" s="266"/>
      <c r="U81" s="266"/>
      <c r="V81" s="266">
        <v>0.2</v>
      </c>
      <c r="W81" s="267">
        <v>0.8</v>
      </c>
      <c r="Z81" s="268">
        <v>74</v>
      </c>
      <c r="AA81" s="269"/>
      <c r="AB81" s="25">
        <v>0.36</v>
      </c>
      <c r="AC81" s="269"/>
      <c r="AD81" s="270"/>
      <c r="AG81" s="271">
        <v>74</v>
      </c>
      <c r="AH81" s="272"/>
      <c r="AI81" s="313">
        <v>0.1</v>
      </c>
      <c r="AJ81" s="272"/>
      <c r="AK81" s="273"/>
      <c r="AT81" s="465">
        <v>74</v>
      </c>
      <c r="AU81" s="472"/>
      <c r="AV81" s="473">
        <v>0.4</v>
      </c>
      <c r="AW81" s="479">
        <v>0.6</v>
      </c>
    </row>
    <row r="82" spans="1:49" ht="12.75">
      <c r="A82" s="233">
        <v>4</v>
      </c>
      <c r="B82" s="324">
        <v>73</v>
      </c>
      <c r="C82" s="332">
        <v>390</v>
      </c>
      <c r="D82" s="332">
        <v>195</v>
      </c>
      <c r="E82" s="332">
        <v>130</v>
      </c>
      <c r="F82" s="295">
        <v>163</v>
      </c>
      <c r="G82" s="236">
        <v>130</v>
      </c>
      <c r="H82" s="236">
        <v>82</v>
      </c>
      <c r="I82" s="236">
        <v>55</v>
      </c>
      <c r="J82" s="332">
        <v>0.00062</v>
      </c>
      <c r="K82" s="333">
        <v>0.481</v>
      </c>
      <c r="L82" s="332">
        <v>0.385</v>
      </c>
      <c r="M82">
        <f t="shared" si="6"/>
        <v>78</v>
      </c>
      <c r="N82" s="291">
        <f t="shared" si="7"/>
        <v>97.5</v>
      </c>
      <c r="O82" s="291">
        <f t="shared" si="8"/>
        <v>48.75</v>
      </c>
      <c r="P82" s="291">
        <f t="shared" si="9"/>
        <v>32.5</v>
      </c>
      <c r="S82" s="265">
        <v>75</v>
      </c>
      <c r="T82" s="266"/>
      <c r="U82" s="266"/>
      <c r="V82" s="266">
        <v>0.2</v>
      </c>
      <c r="W82" s="267">
        <v>0.8</v>
      </c>
      <c r="Z82" s="268">
        <v>75</v>
      </c>
      <c r="AA82" s="269"/>
      <c r="AB82" s="25">
        <v>0.36</v>
      </c>
      <c r="AC82" s="269"/>
      <c r="AD82" s="270"/>
      <c r="AG82" s="271">
        <v>75</v>
      </c>
      <c r="AH82" s="272"/>
      <c r="AI82" s="313">
        <v>0.1</v>
      </c>
      <c r="AJ82" s="272"/>
      <c r="AK82" s="273"/>
      <c r="AT82" s="466">
        <v>75</v>
      </c>
      <c r="AU82" s="485"/>
      <c r="AV82" s="486">
        <v>0.4</v>
      </c>
      <c r="AW82" s="487">
        <v>0.6</v>
      </c>
    </row>
    <row r="83" spans="1:49" ht="12.75">
      <c r="A83" s="233">
        <v>4</v>
      </c>
      <c r="B83" s="324">
        <v>74</v>
      </c>
      <c r="C83" s="332">
        <v>390</v>
      </c>
      <c r="D83" s="332">
        <v>195</v>
      </c>
      <c r="E83" s="332">
        <v>130</v>
      </c>
      <c r="F83" s="295">
        <v>163</v>
      </c>
      <c r="G83" s="236">
        <v>130</v>
      </c>
      <c r="H83" s="236">
        <v>82</v>
      </c>
      <c r="I83" s="236">
        <v>55</v>
      </c>
      <c r="J83" s="332">
        <v>0.00062</v>
      </c>
      <c r="K83" s="333">
        <v>0.481</v>
      </c>
      <c r="L83" s="332">
        <v>0.385</v>
      </c>
      <c r="M83">
        <f t="shared" si="6"/>
        <v>78</v>
      </c>
      <c r="N83" s="291">
        <f t="shared" si="7"/>
        <v>97.5</v>
      </c>
      <c r="O83" s="291">
        <f t="shared" si="8"/>
        <v>48.75</v>
      </c>
      <c r="P83" s="291">
        <f t="shared" si="9"/>
        <v>32.5</v>
      </c>
      <c r="S83" s="265">
        <v>76</v>
      </c>
      <c r="T83" s="266"/>
      <c r="U83" s="266"/>
      <c r="V83" s="266">
        <v>0.2</v>
      </c>
      <c r="W83" s="267">
        <v>0.8</v>
      </c>
      <c r="Z83" s="268">
        <v>76</v>
      </c>
      <c r="AA83" s="269"/>
      <c r="AB83" s="25">
        <v>0.36</v>
      </c>
      <c r="AC83" s="269"/>
      <c r="AD83" s="270"/>
      <c r="AG83" s="271">
        <v>76</v>
      </c>
      <c r="AH83" s="272"/>
      <c r="AI83" s="313">
        <v>0.1</v>
      </c>
      <c r="AJ83" s="272"/>
      <c r="AK83" s="273"/>
      <c r="AT83" s="465">
        <v>76</v>
      </c>
      <c r="AU83" s="472"/>
      <c r="AV83" s="473">
        <v>0.2</v>
      </c>
      <c r="AW83" s="479">
        <v>0.3</v>
      </c>
    </row>
    <row r="84" spans="1:49" ht="12.75">
      <c r="A84" s="233">
        <v>4</v>
      </c>
      <c r="B84" s="326">
        <v>75</v>
      </c>
      <c r="C84" s="330">
        <v>390</v>
      </c>
      <c r="D84" s="330">
        <v>195</v>
      </c>
      <c r="E84" s="330">
        <v>130</v>
      </c>
      <c r="F84" s="328">
        <v>163</v>
      </c>
      <c r="G84" s="329">
        <v>130</v>
      </c>
      <c r="H84" s="329">
        <v>82</v>
      </c>
      <c r="I84" s="329">
        <v>55</v>
      </c>
      <c r="J84" s="330">
        <v>0.00062</v>
      </c>
      <c r="K84" s="334">
        <v>0.481</v>
      </c>
      <c r="L84" s="330">
        <v>0.385</v>
      </c>
      <c r="M84">
        <f t="shared" si="6"/>
        <v>78</v>
      </c>
      <c r="N84" s="291">
        <f t="shared" si="7"/>
        <v>97.5</v>
      </c>
      <c r="O84" s="291">
        <f t="shared" si="8"/>
        <v>48.75</v>
      </c>
      <c r="P84" s="291">
        <f t="shared" si="9"/>
        <v>32.5</v>
      </c>
      <c r="S84" s="265">
        <v>77</v>
      </c>
      <c r="T84" s="266"/>
      <c r="U84" s="266"/>
      <c r="V84" s="266">
        <v>0.2</v>
      </c>
      <c r="W84" s="267">
        <v>0.8</v>
      </c>
      <c r="Z84" s="268">
        <v>77</v>
      </c>
      <c r="AA84" s="269"/>
      <c r="AB84" s="25">
        <v>0.36</v>
      </c>
      <c r="AC84" s="269"/>
      <c r="AD84" s="270"/>
      <c r="AG84" s="271">
        <v>77</v>
      </c>
      <c r="AH84" s="272"/>
      <c r="AI84" s="313">
        <v>0.1</v>
      </c>
      <c r="AJ84" s="272"/>
      <c r="AK84" s="273"/>
      <c r="AT84" s="465">
        <v>77</v>
      </c>
      <c r="AU84" s="472"/>
      <c r="AV84" s="473">
        <v>0.2</v>
      </c>
      <c r="AW84" s="479">
        <v>0.3</v>
      </c>
    </row>
    <row r="85" spans="1:49" ht="12.75">
      <c r="A85" s="233">
        <v>4</v>
      </c>
      <c r="B85" s="324">
        <v>76</v>
      </c>
      <c r="C85" s="332">
        <v>410</v>
      </c>
      <c r="D85" s="332">
        <v>205</v>
      </c>
      <c r="E85" s="332">
        <v>137</v>
      </c>
      <c r="F85" s="295">
        <v>163</v>
      </c>
      <c r="G85" s="236">
        <v>130</v>
      </c>
      <c r="H85" s="236">
        <v>82</v>
      </c>
      <c r="I85" s="236">
        <v>55</v>
      </c>
      <c r="J85" s="332">
        <v>0.00059</v>
      </c>
      <c r="K85" s="333">
        <v>0.457</v>
      </c>
      <c r="L85" s="332">
        <v>0.366</v>
      </c>
      <c r="M85">
        <f t="shared" si="6"/>
        <v>82</v>
      </c>
      <c r="N85" s="291">
        <f t="shared" si="7"/>
        <v>102.5</v>
      </c>
      <c r="O85" s="291">
        <f t="shared" si="8"/>
        <v>51.25</v>
      </c>
      <c r="P85" s="291">
        <f t="shared" si="9"/>
        <v>34.166666666666664</v>
      </c>
      <c r="S85" s="265">
        <v>78</v>
      </c>
      <c r="T85" s="266"/>
      <c r="U85" s="266"/>
      <c r="V85" s="266">
        <v>0.2</v>
      </c>
      <c r="W85" s="267">
        <v>0.8</v>
      </c>
      <c r="Z85" s="268">
        <v>78</v>
      </c>
      <c r="AA85" s="269"/>
      <c r="AB85" s="25">
        <v>0.36</v>
      </c>
      <c r="AC85" s="269"/>
      <c r="AD85" s="270"/>
      <c r="AG85" s="271">
        <v>78</v>
      </c>
      <c r="AH85" s="272"/>
      <c r="AI85" s="313">
        <v>0.1</v>
      </c>
      <c r="AJ85" s="272"/>
      <c r="AK85" s="273"/>
      <c r="AT85" s="465">
        <v>78</v>
      </c>
      <c r="AU85" s="472"/>
      <c r="AV85" s="473">
        <v>0.2</v>
      </c>
      <c r="AW85" s="479">
        <v>0.3</v>
      </c>
    </row>
    <row r="86" spans="1:49" ht="12.75">
      <c r="A86" s="233">
        <v>4</v>
      </c>
      <c r="B86" s="324">
        <v>77</v>
      </c>
      <c r="C86" s="332">
        <v>410</v>
      </c>
      <c r="D86" s="332">
        <v>205</v>
      </c>
      <c r="E86" s="332">
        <v>137</v>
      </c>
      <c r="F86" s="295">
        <v>163</v>
      </c>
      <c r="G86" s="236">
        <v>130</v>
      </c>
      <c r="H86" s="236">
        <v>82</v>
      </c>
      <c r="I86" s="236">
        <v>55</v>
      </c>
      <c r="J86" s="332">
        <v>0.00059</v>
      </c>
      <c r="K86" s="333">
        <v>0.457</v>
      </c>
      <c r="L86" s="332">
        <v>0.366</v>
      </c>
      <c r="M86">
        <f t="shared" si="6"/>
        <v>82</v>
      </c>
      <c r="N86" s="291">
        <f t="shared" si="7"/>
        <v>102.5</v>
      </c>
      <c r="O86" s="291">
        <f t="shared" si="8"/>
        <v>51.25</v>
      </c>
      <c r="P86" s="291">
        <f t="shared" si="9"/>
        <v>34.166666666666664</v>
      </c>
      <c r="S86" s="265">
        <v>79</v>
      </c>
      <c r="T86" s="266"/>
      <c r="U86" s="266"/>
      <c r="V86" s="266">
        <v>0.2</v>
      </c>
      <c r="W86" s="267">
        <v>0.8</v>
      </c>
      <c r="Z86" s="335">
        <v>79</v>
      </c>
      <c r="AA86" s="336"/>
      <c r="AB86" s="336">
        <v>0.36</v>
      </c>
      <c r="AC86" s="336"/>
      <c r="AD86" s="337"/>
      <c r="AG86" s="314">
        <v>79</v>
      </c>
      <c r="AH86" s="315"/>
      <c r="AI86" s="316">
        <v>0.1</v>
      </c>
      <c r="AJ86" s="315"/>
      <c r="AK86" s="317"/>
      <c r="AT86" s="465">
        <v>79</v>
      </c>
      <c r="AU86" s="472"/>
      <c r="AV86" s="473">
        <v>0.2</v>
      </c>
      <c r="AW86" s="479">
        <v>0.3</v>
      </c>
    </row>
    <row r="87" spans="1:49" ht="12.75">
      <c r="A87" s="233">
        <v>4</v>
      </c>
      <c r="B87" s="324">
        <v>78</v>
      </c>
      <c r="C87" s="332">
        <v>410</v>
      </c>
      <c r="D87" s="332">
        <v>205</v>
      </c>
      <c r="E87" s="332">
        <v>137</v>
      </c>
      <c r="F87" s="295">
        <v>163</v>
      </c>
      <c r="G87" s="236">
        <v>130</v>
      </c>
      <c r="H87" s="236">
        <v>82</v>
      </c>
      <c r="I87" s="236">
        <v>55</v>
      </c>
      <c r="J87" s="332">
        <v>0.00059</v>
      </c>
      <c r="K87" s="333">
        <v>0.457</v>
      </c>
      <c r="L87" s="332">
        <v>0.366</v>
      </c>
      <c r="M87">
        <f t="shared" si="6"/>
        <v>82</v>
      </c>
      <c r="N87" s="291">
        <f t="shared" si="7"/>
        <v>102.5</v>
      </c>
      <c r="O87" s="291">
        <f t="shared" si="8"/>
        <v>51.25</v>
      </c>
      <c r="P87" s="291">
        <f t="shared" si="9"/>
        <v>34.166666666666664</v>
      </c>
      <c r="S87" s="265">
        <v>80</v>
      </c>
      <c r="T87" s="266"/>
      <c r="U87" s="266"/>
      <c r="V87" s="266">
        <v>0.2</v>
      </c>
      <c r="W87" s="267">
        <v>0.8</v>
      </c>
      <c r="Z87" s="268">
        <v>80</v>
      </c>
      <c r="AA87" s="269"/>
      <c r="AB87" s="269">
        <v>0.28</v>
      </c>
      <c r="AC87" s="269"/>
      <c r="AD87" s="270"/>
      <c r="AG87" s="271">
        <v>80</v>
      </c>
      <c r="AH87" s="272"/>
      <c r="AI87" s="313">
        <v>0.1</v>
      </c>
      <c r="AJ87" s="272"/>
      <c r="AK87" s="273"/>
      <c r="AT87" s="466">
        <v>80</v>
      </c>
      <c r="AU87" s="472"/>
      <c r="AV87" s="473">
        <v>0.2</v>
      </c>
      <c r="AW87" s="479">
        <v>0.3</v>
      </c>
    </row>
    <row r="88" spans="1:49" ht="12.75">
      <c r="A88" s="233">
        <v>4</v>
      </c>
      <c r="B88" s="324">
        <v>79</v>
      </c>
      <c r="C88" s="332">
        <v>410</v>
      </c>
      <c r="D88" s="332">
        <v>205</v>
      </c>
      <c r="E88" s="332">
        <v>137</v>
      </c>
      <c r="F88" s="295">
        <v>163</v>
      </c>
      <c r="G88" s="236">
        <v>130</v>
      </c>
      <c r="H88" s="236">
        <v>82</v>
      </c>
      <c r="I88" s="236">
        <v>55</v>
      </c>
      <c r="J88" s="332">
        <v>0.00059</v>
      </c>
      <c r="K88" s="333">
        <v>0.457</v>
      </c>
      <c r="L88" s="332">
        <v>0.366</v>
      </c>
      <c r="M88">
        <f t="shared" si="6"/>
        <v>82</v>
      </c>
      <c r="N88" s="291">
        <f t="shared" si="7"/>
        <v>102.5</v>
      </c>
      <c r="O88" s="291">
        <f t="shared" si="8"/>
        <v>51.25</v>
      </c>
      <c r="P88" s="291">
        <f t="shared" si="9"/>
        <v>34.166666666666664</v>
      </c>
      <c r="S88" s="265">
        <v>81</v>
      </c>
      <c r="T88" s="266"/>
      <c r="U88" s="266"/>
      <c r="V88" s="266">
        <v>0.2</v>
      </c>
      <c r="W88" s="267">
        <v>0.8</v>
      </c>
      <c r="Z88" s="268">
        <v>81</v>
      </c>
      <c r="AA88" s="269"/>
      <c r="AB88" s="25">
        <v>0.28</v>
      </c>
      <c r="AC88" s="269"/>
      <c r="AD88" s="270"/>
      <c r="AG88" s="271">
        <v>81</v>
      </c>
      <c r="AH88" s="272"/>
      <c r="AI88" s="313">
        <v>0.1</v>
      </c>
      <c r="AJ88" s="272"/>
      <c r="AK88" s="273"/>
      <c r="AT88" s="465">
        <v>81</v>
      </c>
      <c r="AU88" s="472"/>
      <c r="AV88" s="473">
        <v>0.2</v>
      </c>
      <c r="AW88" s="479">
        <v>0.3</v>
      </c>
    </row>
    <row r="89" spans="1:49" ht="12.75">
      <c r="A89" s="233">
        <v>4</v>
      </c>
      <c r="B89" s="326">
        <v>80</v>
      </c>
      <c r="C89" s="330">
        <v>410</v>
      </c>
      <c r="D89" s="330">
        <v>205</v>
      </c>
      <c r="E89" s="330">
        <v>137</v>
      </c>
      <c r="F89" s="328">
        <v>163</v>
      </c>
      <c r="G89" s="329">
        <v>130</v>
      </c>
      <c r="H89" s="329">
        <v>82</v>
      </c>
      <c r="I89" s="329">
        <v>55</v>
      </c>
      <c r="J89" s="330">
        <v>0.00059</v>
      </c>
      <c r="K89" s="334">
        <v>0.457</v>
      </c>
      <c r="L89" s="330">
        <v>0.366</v>
      </c>
      <c r="M89">
        <f t="shared" si="6"/>
        <v>82</v>
      </c>
      <c r="N89" s="291">
        <f t="shared" si="7"/>
        <v>102.5</v>
      </c>
      <c r="O89" s="291">
        <f t="shared" si="8"/>
        <v>51.25</v>
      </c>
      <c r="P89" s="291">
        <f t="shared" si="9"/>
        <v>34.166666666666664</v>
      </c>
      <c r="S89" s="265">
        <v>82</v>
      </c>
      <c r="T89" s="266"/>
      <c r="U89" s="266"/>
      <c r="V89" s="266">
        <v>0.2</v>
      </c>
      <c r="W89" s="267">
        <v>0.8</v>
      </c>
      <c r="Z89" s="268">
        <v>82</v>
      </c>
      <c r="AA89" s="269"/>
      <c r="AB89" s="25">
        <v>0.28</v>
      </c>
      <c r="AC89" s="269"/>
      <c r="AD89" s="270"/>
      <c r="AG89" s="271">
        <v>82</v>
      </c>
      <c r="AH89" s="272"/>
      <c r="AI89" s="313">
        <v>0.1</v>
      </c>
      <c r="AJ89" s="272"/>
      <c r="AK89" s="273"/>
      <c r="AT89" s="465">
        <v>82</v>
      </c>
      <c r="AU89" s="472"/>
      <c r="AV89" s="473">
        <v>0.2</v>
      </c>
      <c r="AW89" s="479">
        <v>0.3</v>
      </c>
    </row>
    <row r="90" spans="1:49" ht="12.75">
      <c r="A90" s="233">
        <v>4</v>
      </c>
      <c r="B90" s="324">
        <v>81</v>
      </c>
      <c r="C90" s="332">
        <v>430</v>
      </c>
      <c r="D90" s="332">
        <v>215</v>
      </c>
      <c r="E90" s="332">
        <v>143</v>
      </c>
      <c r="F90" s="295">
        <v>163</v>
      </c>
      <c r="G90" s="236">
        <v>130</v>
      </c>
      <c r="H90" s="236">
        <v>82</v>
      </c>
      <c r="I90" s="236">
        <v>55</v>
      </c>
      <c r="J90" s="332">
        <v>0.00056</v>
      </c>
      <c r="K90" s="333">
        <v>0.436</v>
      </c>
      <c r="L90" s="332">
        <v>0.349</v>
      </c>
      <c r="M90">
        <f t="shared" si="6"/>
        <v>86</v>
      </c>
      <c r="N90" s="291">
        <f t="shared" si="7"/>
        <v>107.5</v>
      </c>
      <c r="O90" s="291">
        <f t="shared" si="8"/>
        <v>53.75</v>
      </c>
      <c r="P90" s="291">
        <f t="shared" si="9"/>
        <v>35.833333333333336</v>
      </c>
      <c r="S90" s="265">
        <v>83</v>
      </c>
      <c r="T90" s="266"/>
      <c r="U90" s="266"/>
      <c r="V90" s="266">
        <v>0.2</v>
      </c>
      <c r="W90" s="267">
        <v>0.8</v>
      </c>
      <c r="Z90" s="268">
        <v>83</v>
      </c>
      <c r="AA90" s="269"/>
      <c r="AB90" s="25">
        <v>0.28</v>
      </c>
      <c r="AC90" s="269"/>
      <c r="AD90" s="270"/>
      <c r="AG90" s="271">
        <v>83</v>
      </c>
      <c r="AH90" s="272"/>
      <c r="AI90" s="313">
        <v>0.1</v>
      </c>
      <c r="AJ90" s="272"/>
      <c r="AK90" s="273"/>
      <c r="AT90" s="465">
        <v>83</v>
      </c>
      <c r="AU90" s="472"/>
      <c r="AV90" s="473">
        <v>0.2</v>
      </c>
      <c r="AW90" s="479">
        <v>0.3</v>
      </c>
    </row>
    <row r="91" spans="1:49" ht="12.75">
      <c r="A91" s="233">
        <v>4</v>
      </c>
      <c r="B91" s="324">
        <v>82</v>
      </c>
      <c r="C91" s="332">
        <v>430</v>
      </c>
      <c r="D91" s="332">
        <v>215</v>
      </c>
      <c r="E91" s="332">
        <v>143</v>
      </c>
      <c r="F91" s="295">
        <v>163</v>
      </c>
      <c r="G91" s="236">
        <v>130</v>
      </c>
      <c r="H91" s="236">
        <v>82</v>
      </c>
      <c r="I91" s="236">
        <v>55</v>
      </c>
      <c r="J91" s="332">
        <v>0.00056</v>
      </c>
      <c r="K91" s="333">
        <v>0.436</v>
      </c>
      <c r="L91" s="332">
        <v>0.349</v>
      </c>
      <c r="M91">
        <f t="shared" si="6"/>
        <v>86</v>
      </c>
      <c r="N91" s="291">
        <f t="shared" si="7"/>
        <v>107.5</v>
      </c>
      <c r="O91" s="291">
        <f t="shared" si="8"/>
        <v>53.75</v>
      </c>
      <c r="P91" s="291">
        <f t="shared" si="9"/>
        <v>35.833333333333336</v>
      </c>
      <c r="S91" s="265">
        <v>84</v>
      </c>
      <c r="T91" s="266"/>
      <c r="U91" s="266"/>
      <c r="V91" s="266">
        <v>0.2</v>
      </c>
      <c r="W91" s="267">
        <v>0.8</v>
      </c>
      <c r="Z91" s="268">
        <v>84</v>
      </c>
      <c r="AA91" s="269"/>
      <c r="AB91" s="25">
        <v>0.28</v>
      </c>
      <c r="AC91" s="269"/>
      <c r="AD91" s="270"/>
      <c r="AG91" s="271">
        <v>84</v>
      </c>
      <c r="AH91" s="272"/>
      <c r="AI91" s="313">
        <v>0.1</v>
      </c>
      <c r="AJ91" s="272"/>
      <c r="AK91" s="273"/>
      <c r="AT91" s="465">
        <v>84</v>
      </c>
      <c r="AU91" s="472"/>
      <c r="AV91" s="473">
        <v>0.2</v>
      </c>
      <c r="AW91" s="479">
        <v>0.3</v>
      </c>
    </row>
    <row r="92" spans="1:49" ht="12.75">
      <c r="A92" s="233">
        <v>4</v>
      </c>
      <c r="B92" s="324">
        <v>83</v>
      </c>
      <c r="C92" s="332">
        <v>430</v>
      </c>
      <c r="D92" s="332">
        <v>215</v>
      </c>
      <c r="E92" s="332">
        <v>143</v>
      </c>
      <c r="F92" s="295">
        <v>163</v>
      </c>
      <c r="G92" s="236">
        <v>130</v>
      </c>
      <c r="H92" s="236">
        <v>82</v>
      </c>
      <c r="I92" s="236">
        <v>55</v>
      </c>
      <c r="J92" s="332">
        <v>0.00056</v>
      </c>
      <c r="K92" s="333">
        <v>0.436</v>
      </c>
      <c r="L92" s="332">
        <v>0.349</v>
      </c>
      <c r="M92">
        <f t="shared" si="6"/>
        <v>86</v>
      </c>
      <c r="N92" s="291">
        <f t="shared" si="7"/>
        <v>107.5</v>
      </c>
      <c r="O92" s="291">
        <f t="shared" si="8"/>
        <v>53.75</v>
      </c>
      <c r="P92" s="291">
        <f t="shared" si="9"/>
        <v>35.833333333333336</v>
      </c>
      <c r="S92" s="265">
        <v>85</v>
      </c>
      <c r="T92" s="266"/>
      <c r="U92" s="266"/>
      <c r="V92" s="266">
        <v>0.2</v>
      </c>
      <c r="W92" s="267">
        <v>0.8</v>
      </c>
      <c r="Z92" s="268">
        <v>85</v>
      </c>
      <c r="AA92" s="269"/>
      <c r="AB92" s="25">
        <v>0.28</v>
      </c>
      <c r="AC92" s="269"/>
      <c r="AD92" s="270"/>
      <c r="AG92" s="271">
        <v>85</v>
      </c>
      <c r="AH92" s="272"/>
      <c r="AI92" s="313">
        <v>0.1</v>
      </c>
      <c r="AJ92" s="272"/>
      <c r="AK92" s="273"/>
      <c r="AT92" s="466">
        <v>85</v>
      </c>
      <c r="AU92" s="472"/>
      <c r="AV92" s="473">
        <v>0.2</v>
      </c>
      <c r="AW92" s="479">
        <v>0.3</v>
      </c>
    </row>
    <row r="93" spans="1:49" ht="12.75">
      <c r="A93" s="233">
        <v>4</v>
      </c>
      <c r="B93" s="324">
        <v>84</v>
      </c>
      <c r="C93" s="332">
        <v>430</v>
      </c>
      <c r="D93" s="332">
        <v>215</v>
      </c>
      <c r="E93" s="332">
        <v>143</v>
      </c>
      <c r="F93" s="295">
        <v>163</v>
      </c>
      <c r="G93" s="236">
        <v>130</v>
      </c>
      <c r="H93" s="236">
        <v>82</v>
      </c>
      <c r="I93" s="236">
        <v>55</v>
      </c>
      <c r="J93" s="332">
        <v>0.00056</v>
      </c>
      <c r="K93" s="333">
        <v>0.436</v>
      </c>
      <c r="L93" s="332">
        <v>0.349</v>
      </c>
      <c r="M93">
        <f t="shared" si="6"/>
        <v>86</v>
      </c>
      <c r="N93" s="291">
        <f t="shared" si="7"/>
        <v>107.5</v>
      </c>
      <c r="O93" s="291">
        <f t="shared" si="8"/>
        <v>53.75</v>
      </c>
      <c r="P93" s="291">
        <f t="shared" si="9"/>
        <v>35.833333333333336</v>
      </c>
      <c r="S93" s="265">
        <v>86</v>
      </c>
      <c r="T93" s="266"/>
      <c r="U93" s="266"/>
      <c r="V93" s="266">
        <v>0.2</v>
      </c>
      <c r="W93" s="267">
        <v>0.8</v>
      </c>
      <c r="Z93" s="268">
        <v>86</v>
      </c>
      <c r="AA93" s="269"/>
      <c r="AB93" s="25">
        <v>0.28</v>
      </c>
      <c r="AC93" s="269"/>
      <c r="AD93" s="270"/>
      <c r="AG93" s="271">
        <v>86</v>
      </c>
      <c r="AH93" s="272"/>
      <c r="AI93" s="313">
        <v>0.1</v>
      </c>
      <c r="AJ93" s="272"/>
      <c r="AK93" s="273"/>
      <c r="AT93" s="465">
        <v>86</v>
      </c>
      <c r="AU93" s="472"/>
      <c r="AV93" s="473">
        <v>0.2</v>
      </c>
      <c r="AW93" s="479">
        <v>0.3</v>
      </c>
    </row>
    <row r="94" spans="1:49" ht="12.75">
      <c r="A94" s="233">
        <v>4</v>
      </c>
      <c r="B94" s="326">
        <v>85</v>
      </c>
      <c r="C94" s="330">
        <v>430</v>
      </c>
      <c r="D94" s="330">
        <v>215</v>
      </c>
      <c r="E94" s="330">
        <v>143</v>
      </c>
      <c r="F94" s="328">
        <v>163</v>
      </c>
      <c r="G94" s="329">
        <v>130</v>
      </c>
      <c r="H94" s="329">
        <v>82</v>
      </c>
      <c r="I94" s="329">
        <v>55</v>
      </c>
      <c r="J94" s="330">
        <v>0.00056</v>
      </c>
      <c r="K94" s="334">
        <v>0.436</v>
      </c>
      <c r="L94" s="330">
        <v>0.349</v>
      </c>
      <c r="M94">
        <f t="shared" si="6"/>
        <v>86</v>
      </c>
      <c r="N94" s="291">
        <f t="shared" si="7"/>
        <v>107.5</v>
      </c>
      <c r="O94" s="291">
        <f t="shared" si="8"/>
        <v>53.75</v>
      </c>
      <c r="P94" s="291">
        <f t="shared" si="9"/>
        <v>35.833333333333336</v>
      </c>
      <c r="S94" s="265">
        <v>87</v>
      </c>
      <c r="T94" s="266"/>
      <c r="U94" s="266"/>
      <c r="V94" s="266">
        <v>0.2</v>
      </c>
      <c r="W94" s="267">
        <v>0.8</v>
      </c>
      <c r="Z94" s="268">
        <v>87</v>
      </c>
      <c r="AA94" s="269"/>
      <c r="AB94" s="25">
        <v>0.28</v>
      </c>
      <c r="AC94" s="269"/>
      <c r="AD94" s="270"/>
      <c r="AG94" s="271">
        <v>87</v>
      </c>
      <c r="AH94" s="272"/>
      <c r="AI94" s="313">
        <v>0.1</v>
      </c>
      <c r="AJ94" s="272"/>
      <c r="AK94" s="273"/>
      <c r="AT94" s="465">
        <v>87</v>
      </c>
      <c r="AU94" s="472"/>
      <c r="AV94" s="473">
        <v>0.2</v>
      </c>
      <c r="AW94" s="479">
        <v>0.3</v>
      </c>
    </row>
    <row r="95" spans="1:49" ht="12.75">
      <c r="A95" s="233">
        <v>4</v>
      </c>
      <c r="B95" s="324">
        <v>86</v>
      </c>
      <c r="C95" s="332">
        <v>450</v>
      </c>
      <c r="D95" s="332">
        <v>225</v>
      </c>
      <c r="E95" s="332">
        <v>150</v>
      </c>
      <c r="F95" s="295">
        <v>163</v>
      </c>
      <c r="G95" s="236">
        <v>130</v>
      </c>
      <c r="H95" s="236">
        <v>82</v>
      </c>
      <c r="I95" s="236">
        <v>55</v>
      </c>
      <c r="J95" s="332">
        <v>0.00053</v>
      </c>
      <c r="K95" s="333">
        <v>0.417</v>
      </c>
      <c r="L95" s="332">
        <v>0.333</v>
      </c>
      <c r="M95">
        <f t="shared" si="6"/>
        <v>90</v>
      </c>
      <c r="N95" s="291">
        <f t="shared" si="7"/>
        <v>112.5</v>
      </c>
      <c r="O95" s="291">
        <f t="shared" si="8"/>
        <v>56.25</v>
      </c>
      <c r="P95" s="291">
        <f t="shared" si="9"/>
        <v>37.5</v>
      </c>
      <c r="S95" s="265">
        <v>88</v>
      </c>
      <c r="T95" s="266"/>
      <c r="U95" s="266"/>
      <c r="V95" s="266">
        <v>0.2</v>
      </c>
      <c r="W95" s="267">
        <v>0.8</v>
      </c>
      <c r="Z95" s="268">
        <v>88</v>
      </c>
      <c r="AA95" s="269"/>
      <c r="AB95" s="25">
        <v>0.28</v>
      </c>
      <c r="AC95" s="269"/>
      <c r="AD95" s="270"/>
      <c r="AG95" s="271">
        <v>88</v>
      </c>
      <c r="AH95" s="272"/>
      <c r="AI95" s="313">
        <v>0.1</v>
      </c>
      <c r="AJ95" s="272"/>
      <c r="AK95" s="273"/>
      <c r="AT95" s="465">
        <v>88</v>
      </c>
      <c r="AU95" s="472"/>
      <c r="AV95" s="473">
        <v>0.2</v>
      </c>
      <c r="AW95" s="479">
        <v>0.3</v>
      </c>
    </row>
    <row r="96" spans="1:49" ht="12.75">
      <c r="A96" s="233">
        <v>4</v>
      </c>
      <c r="B96" s="324">
        <v>87</v>
      </c>
      <c r="C96" s="332">
        <v>450</v>
      </c>
      <c r="D96" s="332">
        <v>225</v>
      </c>
      <c r="E96" s="332">
        <v>150</v>
      </c>
      <c r="F96" s="295">
        <v>163</v>
      </c>
      <c r="G96" s="236">
        <v>130</v>
      </c>
      <c r="H96" s="236">
        <v>82</v>
      </c>
      <c r="I96" s="236">
        <v>55</v>
      </c>
      <c r="J96" s="332">
        <v>0.00053</v>
      </c>
      <c r="K96" s="333">
        <v>0.417</v>
      </c>
      <c r="L96" s="332">
        <v>0.333</v>
      </c>
      <c r="M96">
        <f t="shared" si="6"/>
        <v>90</v>
      </c>
      <c r="N96" s="291">
        <f t="shared" si="7"/>
        <v>112.5</v>
      </c>
      <c r="O96" s="291">
        <f t="shared" si="8"/>
        <v>56.25</v>
      </c>
      <c r="P96" s="291">
        <f t="shared" si="9"/>
        <v>37.5</v>
      </c>
      <c r="S96" s="265">
        <v>89</v>
      </c>
      <c r="T96" s="266"/>
      <c r="U96" s="266"/>
      <c r="V96" s="266">
        <v>0.2</v>
      </c>
      <c r="W96" s="267">
        <v>0.8</v>
      </c>
      <c r="Z96" s="268">
        <v>89</v>
      </c>
      <c r="AA96" s="269"/>
      <c r="AB96" s="25">
        <v>0.28</v>
      </c>
      <c r="AC96" s="269"/>
      <c r="AD96" s="270"/>
      <c r="AG96" s="271">
        <v>89</v>
      </c>
      <c r="AH96" s="272"/>
      <c r="AI96" s="313">
        <v>0.1</v>
      </c>
      <c r="AJ96" s="272"/>
      <c r="AK96" s="273"/>
      <c r="AT96" s="465">
        <v>89</v>
      </c>
      <c r="AU96" s="472"/>
      <c r="AV96" s="473">
        <v>0.2</v>
      </c>
      <c r="AW96" s="479">
        <v>0.3</v>
      </c>
    </row>
    <row r="97" spans="1:49" ht="13.5" thickBot="1">
      <c r="A97" s="233">
        <v>4</v>
      </c>
      <c r="B97" s="324">
        <v>88</v>
      </c>
      <c r="C97" s="332">
        <v>450</v>
      </c>
      <c r="D97" s="332">
        <v>225</v>
      </c>
      <c r="E97" s="332">
        <v>150</v>
      </c>
      <c r="F97" s="295">
        <v>163</v>
      </c>
      <c r="G97" s="236">
        <v>130</v>
      </c>
      <c r="H97" s="236">
        <v>82</v>
      </c>
      <c r="I97" s="236">
        <v>55</v>
      </c>
      <c r="J97" s="332">
        <v>0.00053</v>
      </c>
      <c r="K97" s="333">
        <v>0.417</v>
      </c>
      <c r="L97" s="332">
        <v>0.333</v>
      </c>
      <c r="M97">
        <f t="shared" si="6"/>
        <v>90</v>
      </c>
      <c r="N97" s="291">
        <f t="shared" si="7"/>
        <v>112.5</v>
      </c>
      <c r="O97" s="291">
        <f t="shared" si="8"/>
        <v>56.25</v>
      </c>
      <c r="P97" s="291">
        <f t="shared" si="9"/>
        <v>37.5</v>
      </c>
      <c r="S97" s="265">
        <v>90</v>
      </c>
      <c r="T97" s="266"/>
      <c r="U97" s="266"/>
      <c r="V97" s="266">
        <v>0.2</v>
      </c>
      <c r="W97" s="267">
        <v>0.8</v>
      </c>
      <c r="Z97" s="268">
        <v>90</v>
      </c>
      <c r="AA97" s="269"/>
      <c r="AB97" s="269">
        <v>0.28</v>
      </c>
      <c r="AC97" s="269"/>
      <c r="AD97" s="270"/>
      <c r="AG97" s="271">
        <v>90</v>
      </c>
      <c r="AH97" s="272"/>
      <c r="AI97" s="302">
        <v>0.1</v>
      </c>
      <c r="AJ97" s="272"/>
      <c r="AK97" s="273"/>
      <c r="AT97" s="466">
        <v>90</v>
      </c>
      <c r="AU97" s="458"/>
      <c r="AV97" s="459">
        <v>0.2</v>
      </c>
      <c r="AW97" s="480">
        <v>0.3</v>
      </c>
    </row>
    <row r="98" spans="1:49" ht="12.75">
      <c r="A98" s="233">
        <v>4</v>
      </c>
      <c r="B98" s="324">
        <v>89</v>
      </c>
      <c r="C98" s="332">
        <v>450</v>
      </c>
      <c r="D98" s="332">
        <v>225</v>
      </c>
      <c r="E98" s="332">
        <v>150</v>
      </c>
      <c r="F98" s="295">
        <v>163</v>
      </c>
      <c r="G98" s="236">
        <v>130</v>
      </c>
      <c r="H98" s="236">
        <v>82</v>
      </c>
      <c r="I98" s="236">
        <v>55</v>
      </c>
      <c r="J98" s="332">
        <v>0.00053</v>
      </c>
      <c r="K98" s="333">
        <v>0.417</v>
      </c>
      <c r="L98" s="332">
        <v>0.333</v>
      </c>
      <c r="M98">
        <f t="shared" si="6"/>
        <v>90</v>
      </c>
      <c r="N98" s="291">
        <f t="shared" si="7"/>
        <v>112.5</v>
      </c>
      <c r="O98" s="291">
        <f t="shared" si="8"/>
        <v>56.25</v>
      </c>
      <c r="P98" s="291">
        <f t="shared" si="9"/>
        <v>37.5</v>
      </c>
      <c r="S98" s="265">
        <v>91</v>
      </c>
      <c r="T98" s="266"/>
      <c r="U98" s="266"/>
      <c r="V98" s="266">
        <v>0.2</v>
      </c>
      <c r="W98" s="267">
        <v>0.8</v>
      </c>
      <c r="Z98" s="268">
        <v>91</v>
      </c>
      <c r="AA98" s="269"/>
      <c r="AB98" s="25">
        <v>0.28</v>
      </c>
      <c r="AC98" s="269"/>
      <c r="AD98" s="270"/>
      <c r="AG98" s="271">
        <v>91</v>
      </c>
      <c r="AH98" s="272"/>
      <c r="AI98" s="302">
        <v>0.1</v>
      </c>
      <c r="AJ98" s="272"/>
      <c r="AK98" s="273"/>
      <c r="AT98" s="465">
        <v>91</v>
      </c>
      <c r="AU98" s="472"/>
      <c r="AV98" s="473">
        <v>0.2</v>
      </c>
      <c r="AW98" s="479">
        <v>0.3</v>
      </c>
    </row>
    <row r="99" spans="1:49" ht="12.75">
      <c r="A99" s="233">
        <v>4</v>
      </c>
      <c r="B99" s="326">
        <v>90</v>
      </c>
      <c r="C99" s="330">
        <v>450</v>
      </c>
      <c r="D99" s="330">
        <v>225</v>
      </c>
      <c r="E99" s="330">
        <v>150</v>
      </c>
      <c r="F99" s="328">
        <v>163</v>
      </c>
      <c r="G99" s="329">
        <v>130</v>
      </c>
      <c r="H99" s="329">
        <v>82</v>
      </c>
      <c r="I99" s="329">
        <v>55</v>
      </c>
      <c r="J99" s="330">
        <v>0.00053</v>
      </c>
      <c r="K99" s="334">
        <v>0.417</v>
      </c>
      <c r="L99" s="330">
        <v>0.333</v>
      </c>
      <c r="M99">
        <f t="shared" si="6"/>
        <v>90</v>
      </c>
      <c r="N99" s="291">
        <f t="shared" si="7"/>
        <v>112.5</v>
      </c>
      <c r="O99" s="291">
        <f t="shared" si="8"/>
        <v>56.25</v>
      </c>
      <c r="P99" s="291">
        <f t="shared" si="9"/>
        <v>37.5</v>
      </c>
      <c r="S99" s="265">
        <v>92</v>
      </c>
      <c r="T99" s="266"/>
      <c r="U99" s="266"/>
      <c r="V99" s="266">
        <v>0.2</v>
      </c>
      <c r="W99" s="267">
        <v>0.8</v>
      </c>
      <c r="Z99" s="268">
        <v>92</v>
      </c>
      <c r="AA99" s="269"/>
      <c r="AB99" s="25">
        <v>0.28</v>
      </c>
      <c r="AC99" s="269"/>
      <c r="AD99" s="270"/>
      <c r="AG99" s="271">
        <v>92</v>
      </c>
      <c r="AH99" s="272"/>
      <c r="AI99" s="302">
        <v>0.1</v>
      </c>
      <c r="AJ99" s="272"/>
      <c r="AK99" s="273"/>
      <c r="AT99" s="465">
        <v>92</v>
      </c>
      <c r="AU99" s="472"/>
      <c r="AV99" s="473">
        <v>0.2</v>
      </c>
      <c r="AW99" s="479">
        <v>0.3</v>
      </c>
    </row>
    <row r="100" spans="1:49" ht="12.75">
      <c r="A100" s="233">
        <v>4</v>
      </c>
      <c r="B100" s="324">
        <v>91</v>
      </c>
      <c r="C100" s="237">
        <v>480</v>
      </c>
      <c r="D100" s="237">
        <v>240</v>
      </c>
      <c r="E100" s="237">
        <v>160</v>
      </c>
      <c r="F100" s="295">
        <v>163</v>
      </c>
      <c r="G100" s="236">
        <v>130</v>
      </c>
      <c r="H100" s="236">
        <v>82</v>
      </c>
      <c r="I100" s="236">
        <v>55</v>
      </c>
      <c r="J100" s="237">
        <v>0.0005</v>
      </c>
      <c r="K100" s="341">
        <v>0.391</v>
      </c>
      <c r="L100" s="236">
        <v>0.313</v>
      </c>
      <c r="M100">
        <f t="shared" si="6"/>
        <v>96</v>
      </c>
      <c r="N100" s="291">
        <f t="shared" si="7"/>
        <v>120</v>
      </c>
      <c r="O100" s="291">
        <f t="shared" si="8"/>
        <v>60</v>
      </c>
      <c r="P100" s="291">
        <f t="shared" si="9"/>
        <v>40</v>
      </c>
      <c r="S100" s="265">
        <v>93</v>
      </c>
      <c r="T100" s="266"/>
      <c r="U100" s="266"/>
      <c r="V100" s="266">
        <v>0.2</v>
      </c>
      <c r="W100" s="267">
        <v>0.8</v>
      </c>
      <c r="Z100" s="268">
        <v>93</v>
      </c>
      <c r="AA100" s="269"/>
      <c r="AB100" s="25">
        <v>0.28</v>
      </c>
      <c r="AC100" s="269"/>
      <c r="AD100" s="270"/>
      <c r="AG100" s="271">
        <v>93</v>
      </c>
      <c r="AH100" s="272"/>
      <c r="AI100" s="302">
        <v>0.1</v>
      </c>
      <c r="AJ100" s="272"/>
      <c r="AK100" s="273"/>
      <c r="AT100" s="465">
        <v>93</v>
      </c>
      <c r="AU100" s="472"/>
      <c r="AV100" s="473">
        <v>0.2</v>
      </c>
      <c r="AW100" s="479">
        <v>0.3</v>
      </c>
    </row>
    <row r="101" spans="1:49" ht="13.5" thickBot="1">
      <c r="A101" s="233">
        <v>4</v>
      </c>
      <c r="B101" s="324">
        <v>92</v>
      </c>
      <c r="C101" s="237">
        <v>480</v>
      </c>
      <c r="D101" s="237">
        <v>240</v>
      </c>
      <c r="E101" s="237">
        <v>160</v>
      </c>
      <c r="F101" s="295">
        <v>163</v>
      </c>
      <c r="G101" s="236">
        <v>130</v>
      </c>
      <c r="H101" s="236">
        <v>82</v>
      </c>
      <c r="I101" s="236">
        <v>55</v>
      </c>
      <c r="J101" s="237">
        <v>0.0005</v>
      </c>
      <c r="K101" s="341">
        <v>0.391</v>
      </c>
      <c r="L101" s="236">
        <v>0.313</v>
      </c>
      <c r="M101">
        <f t="shared" si="6"/>
        <v>96</v>
      </c>
      <c r="N101" s="291">
        <f t="shared" si="7"/>
        <v>120</v>
      </c>
      <c r="O101" s="291">
        <f t="shared" si="8"/>
        <v>60</v>
      </c>
      <c r="P101" s="291">
        <f t="shared" si="9"/>
        <v>40</v>
      </c>
      <c r="S101" s="265">
        <v>94</v>
      </c>
      <c r="T101" s="266"/>
      <c r="U101" s="266"/>
      <c r="V101" s="266">
        <v>0.2</v>
      </c>
      <c r="W101" s="267">
        <v>0.8</v>
      </c>
      <c r="Z101" s="268">
        <v>94</v>
      </c>
      <c r="AA101" s="269"/>
      <c r="AB101" s="25">
        <v>0.28</v>
      </c>
      <c r="AC101" s="269"/>
      <c r="AD101" s="270"/>
      <c r="AG101" s="306">
        <v>94</v>
      </c>
      <c r="AH101" s="307"/>
      <c r="AI101" s="308">
        <v>0.1</v>
      </c>
      <c r="AJ101" s="307"/>
      <c r="AK101" s="309"/>
      <c r="AT101" s="465">
        <v>94</v>
      </c>
      <c r="AU101" s="472"/>
      <c r="AV101" s="473">
        <v>0.2</v>
      </c>
      <c r="AW101" s="479">
        <v>0.3</v>
      </c>
    </row>
    <row r="102" spans="1:49" ht="12.75">
      <c r="A102" s="233">
        <v>4</v>
      </c>
      <c r="B102" s="324">
        <v>93</v>
      </c>
      <c r="C102" s="237">
        <v>480</v>
      </c>
      <c r="D102" s="237">
        <v>240</v>
      </c>
      <c r="E102" s="237">
        <v>160</v>
      </c>
      <c r="F102" s="295">
        <v>163</v>
      </c>
      <c r="G102" s="236">
        <v>130</v>
      </c>
      <c r="H102" s="236">
        <v>82</v>
      </c>
      <c r="I102" s="236">
        <v>55</v>
      </c>
      <c r="J102" s="237">
        <v>0.0005</v>
      </c>
      <c r="K102" s="341">
        <v>0.391</v>
      </c>
      <c r="L102" s="236">
        <v>0.313</v>
      </c>
      <c r="M102">
        <f t="shared" si="6"/>
        <v>96</v>
      </c>
      <c r="N102" s="291">
        <f t="shared" si="7"/>
        <v>120</v>
      </c>
      <c r="O102" s="291">
        <f t="shared" si="8"/>
        <v>60</v>
      </c>
      <c r="P102" s="291">
        <f t="shared" si="9"/>
        <v>40</v>
      </c>
      <c r="S102" s="265">
        <v>95</v>
      </c>
      <c r="T102" s="266"/>
      <c r="U102" s="266"/>
      <c r="V102" s="266">
        <v>0.2</v>
      </c>
      <c r="W102" s="267">
        <v>0.8</v>
      </c>
      <c r="Z102" s="310">
        <v>95</v>
      </c>
      <c r="AA102" s="342" t="s">
        <v>509</v>
      </c>
      <c r="AB102" s="311">
        <v>0.28</v>
      </c>
      <c r="AC102" s="311"/>
      <c r="AD102" s="312"/>
      <c r="AG102" s="271">
        <v>95</v>
      </c>
      <c r="AH102" s="258" t="s">
        <v>507</v>
      </c>
      <c r="AI102" s="272">
        <v>0.075</v>
      </c>
      <c r="AJ102" s="272"/>
      <c r="AK102" s="273"/>
      <c r="AT102" s="466">
        <v>95</v>
      </c>
      <c r="AU102" s="472"/>
      <c r="AV102" s="473">
        <v>0.2</v>
      </c>
      <c r="AW102" s="479">
        <v>0.3</v>
      </c>
    </row>
    <row r="103" spans="1:49" ht="12.75">
      <c r="A103" s="233">
        <v>4</v>
      </c>
      <c r="B103" s="324">
        <v>94</v>
      </c>
      <c r="C103" s="237">
        <v>480</v>
      </c>
      <c r="D103" s="237">
        <v>240</v>
      </c>
      <c r="E103" s="237">
        <v>160</v>
      </c>
      <c r="F103" s="295">
        <v>163</v>
      </c>
      <c r="G103" s="236">
        <v>130</v>
      </c>
      <c r="H103" s="236">
        <v>82</v>
      </c>
      <c r="I103" s="236">
        <v>55</v>
      </c>
      <c r="J103" s="237">
        <v>0.0005</v>
      </c>
      <c r="K103" s="341">
        <v>0.391</v>
      </c>
      <c r="L103" s="236">
        <v>0.313</v>
      </c>
      <c r="M103">
        <f t="shared" si="6"/>
        <v>96</v>
      </c>
      <c r="N103" s="291">
        <f t="shared" si="7"/>
        <v>120</v>
      </c>
      <c r="O103" s="291">
        <f t="shared" si="8"/>
        <v>60</v>
      </c>
      <c r="P103" s="291">
        <f t="shared" si="9"/>
        <v>40</v>
      </c>
      <c r="S103" s="265">
        <v>96</v>
      </c>
      <c r="T103" s="266"/>
      <c r="U103" s="266"/>
      <c r="V103" s="266">
        <v>0.2</v>
      </c>
      <c r="W103" s="267">
        <v>0.8</v>
      </c>
      <c r="Z103" s="268">
        <v>96</v>
      </c>
      <c r="AA103" s="284" t="s">
        <v>510</v>
      </c>
      <c r="AB103" s="25">
        <v>0.28</v>
      </c>
      <c r="AC103" s="269"/>
      <c r="AD103" s="270"/>
      <c r="AG103" s="271">
        <v>96</v>
      </c>
      <c r="AH103" s="258" t="s">
        <v>508</v>
      </c>
      <c r="AI103" s="241">
        <v>0.075</v>
      </c>
      <c r="AJ103" s="272"/>
      <c r="AK103" s="273"/>
      <c r="AT103" s="465">
        <v>96</v>
      </c>
      <c r="AU103" s="472"/>
      <c r="AV103" s="473">
        <v>0.2</v>
      </c>
      <c r="AW103" s="479">
        <v>0.3</v>
      </c>
    </row>
    <row r="104" spans="1:49" ht="12.75">
      <c r="A104" s="233">
        <v>4</v>
      </c>
      <c r="B104" s="326">
        <v>95</v>
      </c>
      <c r="C104" s="329">
        <v>480</v>
      </c>
      <c r="D104" s="343">
        <v>240</v>
      </c>
      <c r="E104" s="343">
        <v>160</v>
      </c>
      <c r="F104" s="328">
        <v>163</v>
      </c>
      <c r="G104" s="329">
        <v>130</v>
      </c>
      <c r="H104" s="329">
        <v>82</v>
      </c>
      <c r="I104" s="329">
        <v>55</v>
      </c>
      <c r="J104" s="343">
        <v>0.0005</v>
      </c>
      <c r="K104" s="344">
        <v>0.391</v>
      </c>
      <c r="L104" s="329">
        <v>0.313</v>
      </c>
      <c r="M104">
        <f t="shared" si="6"/>
        <v>96</v>
      </c>
      <c r="N104" s="291">
        <f t="shared" si="7"/>
        <v>120</v>
      </c>
      <c r="O104" s="291">
        <f t="shared" si="8"/>
        <v>60</v>
      </c>
      <c r="P104" s="291">
        <f t="shared" si="9"/>
        <v>40</v>
      </c>
      <c r="S104" s="265">
        <v>97</v>
      </c>
      <c r="T104" s="266"/>
      <c r="U104" s="266"/>
      <c r="V104" s="266">
        <v>0.2</v>
      </c>
      <c r="W104" s="267">
        <v>0.8</v>
      </c>
      <c r="Z104" s="268">
        <v>97</v>
      </c>
      <c r="AA104" s="269"/>
      <c r="AB104" s="25">
        <v>0.28</v>
      </c>
      <c r="AC104" s="269"/>
      <c r="AD104" s="270"/>
      <c r="AG104" s="271">
        <v>97</v>
      </c>
      <c r="AH104" s="272"/>
      <c r="AI104" s="241">
        <v>0.075</v>
      </c>
      <c r="AJ104" s="272"/>
      <c r="AK104" s="273"/>
      <c r="AT104" s="465">
        <v>97</v>
      </c>
      <c r="AU104" s="472"/>
      <c r="AV104" s="473">
        <v>0.2</v>
      </c>
      <c r="AW104" s="479">
        <v>0.3</v>
      </c>
    </row>
    <row r="105" spans="1:49" ht="12.75">
      <c r="A105" s="233">
        <v>4</v>
      </c>
      <c r="B105" s="324">
        <v>96</v>
      </c>
      <c r="C105" s="237">
        <v>510</v>
      </c>
      <c r="D105" s="237">
        <v>255</v>
      </c>
      <c r="E105" s="237">
        <v>170</v>
      </c>
      <c r="F105" s="295">
        <v>163</v>
      </c>
      <c r="G105" s="236">
        <v>130</v>
      </c>
      <c r="H105" s="236">
        <v>82</v>
      </c>
      <c r="I105" s="236">
        <v>55</v>
      </c>
      <c r="J105" s="237">
        <v>0.00047</v>
      </c>
      <c r="K105" s="341">
        <v>0.368</v>
      </c>
      <c r="L105" s="236">
        <v>0.294</v>
      </c>
      <c r="M105">
        <f t="shared" si="6"/>
        <v>102</v>
      </c>
      <c r="N105" s="291">
        <f t="shared" si="7"/>
        <v>127.5</v>
      </c>
      <c r="O105" s="291">
        <f t="shared" si="8"/>
        <v>63.75</v>
      </c>
      <c r="P105" s="291">
        <f t="shared" si="9"/>
        <v>42.5</v>
      </c>
      <c r="S105" s="265">
        <v>98</v>
      </c>
      <c r="T105" s="266"/>
      <c r="U105" s="266"/>
      <c r="V105" s="266">
        <v>0.2</v>
      </c>
      <c r="W105" s="267">
        <v>0.8</v>
      </c>
      <c r="Z105" s="268">
        <v>98</v>
      </c>
      <c r="AA105" s="269"/>
      <c r="AB105" s="25">
        <v>0.28</v>
      </c>
      <c r="AC105" s="269"/>
      <c r="AD105" s="270"/>
      <c r="AG105" s="271">
        <v>98</v>
      </c>
      <c r="AH105" s="272"/>
      <c r="AI105" s="241">
        <v>0.075</v>
      </c>
      <c r="AJ105" s="272"/>
      <c r="AK105" s="273"/>
      <c r="AT105" s="465">
        <v>98</v>
      </c>
      <c r="AU105" s="472"/>
      <c r="AV105" s="473">
        <v>0.2</v>
      </c>
      <c r="AW105" s="479">
        <v>0.3</v>
      </c>
    </row>
    <row r="106" spans="1:49" ht="12.75">
      <c r="A106" s="233">
        <v>4</v>
      </c>
      <c r="B106" s="324">
        <v>97</v>
      </c>
      <c r="C106" s="237">
        <v>510</v>
      </c>
      <c r="D106" s="237">
        <v>255</v>
      </c>
      <c r="E106" s="237">
        <v>170</v>
      </c>
      <c r="F106" s="295">
        <v>163</v>
      </c>
      <c r="G106" s="236">
        <v>130</v>
      </c>
      <c r="H106" s="236">
        <v>82</v>
      </c>
      <c r="I106" s="236">
        <v>55</v>
      </c>
      <c r="J106" s="237">
        <v>0.00047</v>
      </c>
      <c r="K106" s="341">
        <v>0.368</v>
      </c>
      <c r="L106" s="236">
        <v>0.294</v>
      </c>
      <c r="M106">
        <f t="shared" si="6"/>
        <v>102</v>
      </c>
      <c r="N106" s="291">
        <f t="shared" si="7"/>
        <v>127.5</v>
      </c>
      <c r="O106" s="291">
        <f t="shared" si="8"/>
        <v>63.75</v>
      </c>
      <c r="P106" s="291">
        <f t="shared" si="9"/>
        <v>42.5</v>
      </c>
      <c r="S106" s="265">
        <v>99</v>
      </c>
      <c r="T106" s="266"/>
      <c r="U106" s="266"/>
      <c r="V106" s="266">
        <v>0.2</v>
      </c>
      <c r="W106" s="267">
        <v>0.8</v>
      </c>
      <c r="Z106" s="268">
        <v>99</v>
      </c>
      <c r="AA106" s="269"/>
      <c r="AB106" s="25">
        <v>0.28</v>
      </c>
      <c r="AC106" s="269"/>
      <c r="AD106" s="270"/>
      <c r="AG106" s="314">
        <v>99</v>
      </c>
      <c r="AH106" s="315"/>
      <c r="AI106" s="315">
        <v>0.075</v>
      </c>
      <c r="AJ106" s="315"/>
      <c r="AK106" s="317"/>
      <c r="AT106" s="465">
        <v>99</v>
      </c>
      <c r="AU106" s="472"/>
      <c r="AV106" s="473">
        <v>0.2</v>
      </c>
      <c r="AW106" s="479">
        <v>0.3</v>
      </c>
    </row>
    <row r="107" spans="1:49" ht="12.75">
      <c r="A107" s="233">
        <v>4</v>
      </c>
      <c r="B107" s="324">
        <v>98</v>
      </c>
      <c r="C107" s="237">
        <v>510</v>
      </c>
      <c r="D107" s="237">
        <v>255</v>
      </c>
      <c r="E107" s="237">
        <v>170</v>
      </c>
      <c r="F107" s="295">
        <v>163</v>
      </c>
      <c r="G107" s="236">
        <v>130</v>
      </c>
      <c r="H107" s="236">
        <v>82</v>
      </c>
      <c r="I107" s="236">
        <v>55</v>
      </c>
      <c r="J107" s="237">
        <v>0.00047</v>
      </c>
      <c r="K107" s="341">
        <v>0.368</v>
      </c>
      <c r="L107" s="236">
        <v>0.294</v>
      </c>
      <c r="M107">
        <f t="shared" si="6"/>
        <v>102</v>
      </c>
      <c r="N107" s="291">
        <f t="shared" si="7"/>
        <v>127.5</v>
      </c>
      <c r="O107" s="291">
        <f t="shared" si="8"/>
        <v>63.75</v>
      </c>
      <c r="P107" s="291">
        <f t="shared" si="9"/>
        <v>42.5</v>
      </c>
      <c r="S107" s="265">
        <v>100</v>
      </c>
      <c r="T107" s="266"/>
      <c r="U107" s="266"/>
      <c r="V107" s="266">
        <v>0.2</v>
      </c>
      <c r="W107" s="267">
        <v>0.8</v>
      </c>
      <c r="Z107" s="268">
        <v>100</v>
      </c>
      <c r="AA107" s="269"/>
      <c r="AB107" s="25">
        <v>0.28</v>
      </c>
      <c r="AC107" s="269"/>
      <c r="AD107" s="270"/>
      <c r="AG107" s="271">
        <v>100</v>
      </c>
      <c r="AH107" s="258" t="s">
        <v>509</v>
      </c>
      <c r="AI107" s="241">
        <v>0.5</v>
      </c>
      <c r="AJ107" s="272"/>
      <c r="AK107" s="273"/>
      <c r="AT107" s="466">
        <v>100</v>
      </c>
      <c r="AU107" s="472"/>
      <c r="AV107" s="473">
        <v>0.2</v>
      </c>
      <c r="AW107" s="479">
        <v>0.3</v>
      </c>
    </row>
    <row r="108" spans="1:49" ht="12.75">
      <c r="A108" s="233">
        <v>4</v>
      </c>
      <c r="B108" s="324">
        <v>99</v>
      </c>
      <c r="C108" s="237">
        <v>510</v>
      </c>
      <c r="D108" s="237">
        <v>255</v>
      </c>
      <c r="E108" s="237">
        <v>170</v>
      </c>
      <c r="F108" s="295">
        <v>163</v>
      </c>
      <c r="G108" s="236">
        <v>130</v>
      </c>
      <c r="H108" s="236">
        <v>82</v>
      </c>
      <c r="I108" s="236">
        <v>55</v>
      </c>
      <c r="J108" s="237">
        <v>0.00047</v>
      </c>
      <c r="K108" s="341">
        <v>0.368</v>
      </c>
      <c r="L108" s="236">
        <v>0.294</v>
      </c>
      <c r="M108">
        <f t="shared" si="6"/>
        <v>102</v>
      </c>
      <c r="N108" s="291">
        <f t="shared" si="7"/>
        <v>127.5</v>
      </c>
      <c r="O108" s="291">
        <f t="shared" si="8"/>
        <v>63.75</v>
      </c>
      <c r="P108" s="291">
        <f t="shared" si="9"/>
        <v>42.5</v>
      </c>
      <c r="S108" s="265">
        <v>101</v>
      </c>
      <c r="T108" s="266"/>
      <c r="U108" s="266"/>
      <c r="V108" s="266">
        <v>0.2</v>
      </c>
      <c r="W108" s="267">
        <v>0.8</v>
      </c>
      <c r="Z108" s="268">
        <v>101</v>
      </c>
      <c r="AA108" s="269"/>
      <c r="AB108" s="25">
        <v>0.28</v>
      </c>
      <c r="AC108" s="269"/>
      <c r="AD108" s="270"/>
      <c r="AG108" s="271">
        <v>101</v>
      </c>
      <c r="AH108" s="258" t="s">
        <v>510</v>
      </c>
      <c r="AI108" s="241">
        <v>0.5</v>
      </c>
      <c r="AJ108" s="272"/>
      <c r="AK108" s="273"/>
      <c r="AT108" s="465">
        <v>101</v>
      </c>
      <c r="AU108" s="472"/>
      <c r="AV108" s="473">
        <v>0.2</v>
      </c>
      <c r="AW108" s="479">
        <v>0.3</v>
      </c>
    </row>
    <row r="109" spans="1:49" ht="12.75">
      <c r="A109" s="233">
        <v>4</v>
      </c>
      <c r="B109" s="326">
        <v>100</v>
      </c>
      <c r="C109" s="329">
        <v>510</v>
      </c>
      <c r="D109" s="343">
        <v>255</v>
      </c>
      <c r="E109" s="343">
        <v>170</v>
      </c>
      <c r="F109" s="328">
        <v>163</v>
      </c>
      <c r="G109" s="329">
        <v>130</v>
      </c>
      <c r="H109" s="329">
        <v>82</v>
      </c>
      <c r="I109" s="329">
        <v>55</v>
      </c>
      <c r="J109" s="343">
        <v>0.00047</v>
      </c>
      <c r="K109" s="344">
        <v>0.368</v>
      </c>
      <c r="L109" s="329">
        <v>0.294</v>
      </c>
      <c r="M109">
        <f t="shared" si="6"/>
        <v>102</v>
      </c>
      <c r="N109" s="291">
        <f t="shared" si="7"/>
        <v>127.5</v>
      </c>
      <c r="O109" s="291">
        <f t="shared" si="8"/>
        <v>63.75</v>
      </c>
      <c r="P109" s="291">
        <f t="shared" si="9"/>
        <v>42.5</v>
      </c>
      <c r="S109" s="265">
        <v>102</v>
      </c>
      <c r="T109" s="266"/>
      <c r="U109" s="266"/>
      <c r="V109" s="266">
        <v>0.2</v>
      </c>
      <c r="W109" s="267">
        <v>0.8</v>
      </c>
      <c r="Z109" s="268">
        <v>102</v>
      </c>
      <c r="AA109" s="269"/>
      <c r="AB109" s="25">
        <v>0.28</v>
      </c>
      <c r="AC109" s="269"/>
      <c r="AD109" s="270"/>
      <c r="AG109" s="271">
        <v>102</v>
      </c>
      <c r="AH109" s="272"/>
      <c r="AI109" s="241">
        <v>0.5</v>
      </c>
      <c r="AJ109" s="272"/>
      <c r="AK109" s="273"/>
      <c r="AT109" s="465">
        <v>102</v>
      </c>
      <c r="AU109" s="472"/>
      <c r="AV109" s="473">
        <v>0.2</v>
      </c>
      <c r="AW109" s="479">
        <v>0.3</v>
      </c>
    </row>
    <row r="110" spans="1:49" ht="12.75">
      <c r="A110" s="233">
        <v>4</v>
      </c>
      <c r="B110" s="324">
        <v>101</v>
      </c>
      <c r="C110" s="237">
        <v>540</v>
      </c>
      <c r="D110" s="237">
        <v>270</v>
      </c>
      <c r="E110" s="237">
        <v>180</v>
      </c>
      <c r="F110" s="295">
        <v>163</v>
      </c>
      <c r="G110" s="236">
        <v>130</v>
      </c>
      <c r="H110" s="236">
        <v>82</v>
      </c>
      <c r="I110" s="236">
        <v>55</v>
      </c>
      <c r="J110" s="237">
        <v>0.00044</v>
      </c>
      <c r="K110" s="341">
        <v>0.347</v>
      </c>
      <c r="L110" s="236">
        <v>0.278</v>
      </c>
      <c r="M110">
        <f t="shared" si="6"/>
        <v>108</v>
      </c>
      <c r="N110" s="291">
        <f t="shared" si="7"/>
        <v>135</v>
      </c>
      <c r="O110" s="291">
        <f t="shared" si="8"/>
        <v>67.5</v>
      </c>
      <c r="P110" s="291">
        <f t="shared" si="9"/>
        <v>45</v>
      </c>
      <c r="S110" s="265">
        <v>103</v>
      </c>
      <c r="T110" s="266"/>
      <c r="U110" s="266"/>
      <c r="V110" s="266">
        <v>0.2</v>
      </c>
      <c r="W110" s="267">
        <v>0.8</v>
      </c>
      <c r="Z110" s="268">
        <v>103</v>
      </c>
      <c r="AA110" s="269"/>
      <c r="AB110" s="25">
        <v>0.28</v>
      </c>
      <c r="AC110" s="269"/>
      <c r="AD110" s="270"/>
      <c r="AG110" s="271">
        <v>103</v>
      </c>
      <c r="AH110" s="272"/>
      <c r="AI110" s="241">
        <v>0.5</v>
      </c>
      <c r="AJ110" s="272"/>
      <c r="AK110" s="273"/>
      <c r="AT110" s="465">
        <v>103</v>
      </c>
      <c r="AU110" s="472"/>
      <c r="AV110" s="473">
        <v>0.2</v>
      </c>
      <c r="AW110" s="479">
        <v>0.3</v>
      </c>
    </row>
    <row r="111" spans="1:49" ht="12.75">
      <c r="A111" s="233">
        <v>4</v>
      </c>
      <c r="B111" s="324">
        <v>102</v>
      </c>
      <c r="C111" s="237">
        <v>540</v>
      </c>
      <c r="D111" s="237">
        <v>270</v>
      </c>
      <c r="E111" s="237">
        <v>180</v>
      </c>
      <c r="F111" s="295">
        <v>163</v>
      </c>
      <c r="G111" s="236">
        <v>130</v>
      </c>
      <c r="H111" s="236">
        <v>82</v>
      </c>
      <c r="I111" s="236">
        <v>55</v>
      </c>
      <c r="J111" s="237">
        <v>0.00044</v>
      </c>
      <c r="K111" s="341">
        <v>0.347</v>
      </c>
      <c r="L111" s="236">
        <v>0.278</v>
      </c>
      <c r="M111">
        <f t="shared" si="6"/>
        <v>108</v>
      </c>
      <c r="N111" s="291">
        <f t="shared" si="7"/>
        <v>135</v>
      </c>
      <c r="O111" s="291">
        <f t="shared" si="8"/>
        <v>67.5</v>
      </c>
      <c r="P111" s="291">
        <f t="shared" si="9"/>
        <v>45</v>
      </c>
      <c r="S111" s="265">
        <v>104</v>
      </c>
      <c r="T111" s="266"/>
      <c r="U111" s="266"/>
      <c r="V111" s="266">
        <v>0.2</v>
      </c>
      <c r="W111" s="267">
        <v>0.8</v>
      </c>
      <c r="Z111" s="268">
        <v>104</v>
      </c>
      <c r="AA111" s="269"/>
      <c r="AB111" s="25">
        <v>0.28</v>
      </c>
      <c r="AC111" s="269"/>
      <c r="AD111" s="270"/>
      <c r="AG111" s="271">
        <v>104</v>
      </c>
      <c r="AH111" s="272"/>
      <c r="AI111" s="241">
        <v>0.5</v>
      </c>
      <c r="AJ111" s="272"/>
      <c r="AK111" s="273"/>
      <c r="AT111" s="465">
        <v>104</v>
      </c>
      <c r="AU111" s="472"/>
      <c r="AV111" s="473">
        <v>0.2</v>
      </c>
      <c r="AW111" s="479">
        <v>0.3</v>
      </c>
    </row>
    <row r="112" spans="1:49" ht="12.75">
      <c r="A112" s="233">
        <v>4</v>
      </c>
      <c r="B112" s="324">
        <v>103</v>
      </c>
      <c r="C112" s="237">
        <v>540</v>
      </c>
      <c r="D112" s="237">
        <v>270</v>
      </c>
      <c r="E112" s="237">
        <v>180</v>
      </c>
      <c r="F112" s="295">
        <v>163</v>
      </c>
      <c r="G112" s="236">
        <v>130</v>
      </c>
      <c r="H112" s="236">
        <v>82</v>
      </c>
      <c r="I112" s="236">
        <v>55</v>
      </c>
      <c r="J112" s="237">
        <v>0.00044</v>
      </c>
      <c r="K112" s="341">
        <v>0.347</v>
      </c>
      <c r="L112" s="236">
        <v>0.278</v>
      </c>
      <c r="M112">
        <f t="shared" si="6"/>
        <v>108</v>
      </c>
      <c r="N112" s="291">
        <f t="shared" si="7"/>
        <v>135</v>
      </c>
      <c r="O112" s="291">
        <f t="shared" si="8"/>
        <v>67.5</v>
      </c>
      <c r="P112" s="291">
        <f t="shared" si="9"/>
        <v>45</v>
      </c>
      <c r="S112" s="265">
        <v>105</v>
      </c>
      <c r="T112" s="266"/>
      <c r="U112" s="266"/>
      <c r="V112" s="266">
        <v>0.2</v>
      </c>
      <c r="W112" s="267">
        <v>0.8</v>
      </c>
      <c r="Z112" s="268">
        <v>105</v>
      </c>
      <c r="AA112" s="269"/>
      <c r="AB112" s="25">
        <v>0.28</v>
      </c>
      <c r="AC112" s="269"/>
      <c r="AD112" s="270"/>
      <c r="AG112" s="271">
        <v>105</v>
      </c>
      <c r="AH112" s="272"/>
      <c r="AI112" s="241">
        <v>0.5</v>
      </c>
      <c r="AJ112" s="272"/>
      <c r="AK112" s="273"/>
      <c r="AT112" s="466">
        <v>105</v>
      </c>
      <c r="AU112" s="485"/>
      <c r="AV112" s="486">
        <v>0.2</v>
      </c>
      <c r="AW112" s="487">
        <v>0.3</v>
      </c>
    </row>
    <row r="113" spans="1:49" ht="12.75">
      <c r="A113" s="233">
        <v>4</v>
      </c>
      <c r="B113" s="324">
        <v>104</v>
      </c>
      <c r="C113" s="237">
        <v>540</v>
      </c>
      <c r="D113" s="237">
        <v>270</v>
      </c>
      <c r="E113" s="237">
        <v>180</v>
      </c>
      <c r="F113" s="295">
        <v>163</v>
      </c>
      <c r="G113" s="236">
        <v>130</v>
      </c>
      <c r="H113" s="236">
        <v>82</v>
      </c>
      <c r="I113" s="236">
        <v>55</v>
      </c>
      <c r="J113" s="237">
        <v>0.00044</v>
      </c>
      <c r="K113" s="341">
        <v>0.347</v>
      </c>
      <c r="L113" s="236">
        <v>0.278</v>
      </c>
      <c r="M113">
        <f t="shared" si="6"/>
        <v>108</v>
      </c>
      <c r="N113" s="291">
        <f t="shared" si="7"/>
        <v>135</v>
      </c>
      <c r="O113" s="291">
        <f t="shared" si="8"/>
        <v>67.5</v>
      </c>
      <c r="P113" s="291">
        <f t="shared" si="9"/>
        <v>45</v>
      </c>
      <c r="S113" s="265">
        <v>106</v>
      </c>
      <c r="T113" s="266"/>
      <c r="U113" s="266"/>
      <c r="V113" s="266">
        <v>0.2</v>
      </c>
      <c r="W113" s="267">
        <v>0.8</v>
      </c>
      <c r="Z113" s="268">
        <v>106</v>
      </c>
      <c r="AA113" s="269"/>
      <c r="AB113" s="25">
        <v>0.28</v>
      </c>
      <c r="AC113" s="269"/>
      <c r="AD113" s="270"/>
      <c r="AG113" s="271">
        <v>106</v>
      </c>
      <c r="AH113" s="272"/>
      <c r="AI113" s="241">
        <v>0.5</v>
      </c>
      <c r="AJ113" s="272"/>
      <c r="AK113" s="273"/>
      <c r="AT113" s="465">
        <v>106</v>
      </c>
      <c r="AU113" s="472"/>
      <c r="AV113" s="473">
        <v>0.1</v>
      </c>
      <c r="AW113" s="491">
        <v>0.15</v>
      </c>
    </row>
    <row r="114" spans="1:49" ht="12.75">
      <c r="A114" s="233">
        <v>4</v>
      </c>
      <c r="B114" s="326">
        <v>105</v>
      </c>
      <c r="C114" s="329">
        <v>540</v>
      </c>
      <c r="D114" s="343">
        <v>270</v>
      </c>
      <c r="E114" s="343">
        <v>180</v>
      </c>
      <c r="F114" s="328">
        <v>163</v>
      </c>
      <c r="G114" s="329">
        <v>130</v>
      </c>
      <c r="H114" s="329">
        <v>82</v>
      </c>
      <c r="I114" s="329">
        <v>55</v>
      </c>
      <c r="J114" s="343">
        <v>0.00044</v>
      </c>
      <c r="K114" s="344">
        <v>0.347</v>
      </c>
      <c r="L114" s="329">
        <v>0.278</v>
      </c>
      <c r="M114">
        <f t="shared" si="6"/>
        <v>108</v>
      </c>
      <c r="N114" s="291">
        <f t="shared" si="7"/>
        <v>135</v>
      </c>
      <c r="O114" s="291">
        <f t="shared" si="8"/>
        <v>67.5</v>
      </c>
      <c r="P114" s="291">
        <f t="shared" si="9"/>
        <v>45</v>
      </c>
      <c r="S114" s="265">
        <v>107</v>
      </c>
      <c r="T114" s="266"/>
      <c r="U114" s="266"/>
      <c r="V114" s="266">
        <v>0.2</v>
      </c>
      <c r="W114" s="267">
        <v>0.8</v>
      </c>
      <c r="Z114" s="268">
        <v>107</v>
      </c>
      <c r="AA114" s="269"/>
      <c r="AB114" s="25">
        <v>0.28</v>
      </c>
      <c r="AC114" s="269"/>
      <c r="AD114" s="270"/>
      <c r="AG114" s="271">
        <v>107</v>
      </c>
      <c r="AH114" s="272"/>
      <c r="AI114" s="241">
        <v>0.5</v>
      </c>
      <c r="AJ114" s="272"/>
      <c r="AK114" s="273"/>
      <c r="AT114" s="465">
        <v>107</v>
      </c>
      <c r="AU114" s="472"/>
      <c r="AV114" s="473">
        <v>0.1</v>
      </c>
      <c r="AW114" s="491">
        <v>0.15</v>
      </c>
    </row>
    <row r="115" spans="1:49" ht="12.75">
      <c r="A115" s="233">
        <v>4</v>
      </c>
      <c r="B115" s="324">
        <v>106</v>
      </c>
      <c r="C115" s="237">
        <v>570</v>
      </c>
      <c r="D115" s="237">
        <v>285</v>
      </c>
      <c r="E115" s="237">
        <v>190</v>
      </c>
      <c r="F115" s="295">
        <v>163</v>
      </c>
      <c r="G115" s="236">
        <v>130</v>
      </c>
      <c r="H115" s="236">
        <v>82</v>
      </c>
      <c r="I115" s="236">
        <v>55</v>
      </c>
      <c r="J115" s="237">
        <v>0.00042</v>
      </c>
      <c r="K115" s="341">
        <v>0.329</v>
      </c>
      <c r="L115" s="236">
        <v>0.263</v>
      </c>
      <c r="M115">
        <f t="shared" si="6"/>
        <v>114</v>
      </c>
      <c r="N115" s="291">
        <f t="shared" si="7"/>
        <v>142.5</v>
      </c>
      <c r="O115" s="291">
        <f t="shared" si="8"/>
        <v>71.25</v>
      </c>
      <c r="P115" s="291">
        <f t="shared" si="9"/>
        <v>47.5</v>
      </c>
      <c r="S115" s="265">
        <v>108</v>
      </c>
      <c r="T115" s="266"/>
      <c r="U115" s="266"/>
      <c r="V115" s="266">
        <v>0.2</v>
      </c>
      <c r="W115" s="267">
        <v>0.8</v>
      </c>
      <c r="Z115" s="268">
        <v>108</v>
      </c>
      <c r="AA115" s="269"/>
      <c r="AB115" s="25">
        <v>0.28</v>
      </c>
      <c r="AC115" s="269"/>
      <c r="AD115" s="270"/>
      <c r="AG115" s="271">
        <v>108</v>
      </c>
      <c r="AH115" s="272"/>
      <c r="AI115" s="241">
        <v>0.5</v>
      </c>
      <c r="AJ115" s="272"/>
      <c r="AK115" s="273"/>
      <c r="AT115" s="465">
        <v>108</v>
      </c>
      <c r="AU115" s="472"/>
      <c r="AV115" s="473">
        <v>0.1</v>
      </c>
      <c r="AW115" s="491">
        <v>0.15</v>
      </c>
    </row>
    <row r="116" spans="1:49" ht="12.75">
      <c r="A116" s="233">
        <v>4</v>
      </c>
      <c r="B116" s="324">
        <v>107</v>
      </c>
      <c r="C116" s="237">
        <v>570</v>
      </c>
      <c r="D116" s="237">
        <v>285</v>
      </c>
      <c r="E116" s="237">
        <v>190</v>
      </c>
      <c r="F116" s="295">
        <v>163</v>
      </c>
      <c r="G116" s="236">
        <v>130</v>
      </c>
      <c r="H116" s="236">
        <v>82</v>
      </c>
      <c r="I116" s="236">
        <v>55</v>
      </c>
      <c r="J116" s="237">
        <v>0.00042</v>
      </c>
      <c r="K116" s="341">
        <v>0.329</v>
      </c>
      <c r="L116" s="236">
        <v>0.263</v>
      </c>
      <c r="M116">
        <f t="shared" si="6"/>
        <v>114</v>
      </c>
      <c r="N116" s="291">
        <f t="shared" si="7"/>
        <v>142.5</v>
      </c>
      <c r="O116" s="291">
        <f t="shared" si="8"/>
        <v>71.25</v>
      </c>
      <c r="P116" s="291">
        <f t="shared" si="9"/>
        <v>47.5</v>
      </c>
      <c r="S116" s="265">
        <v>109</v>
      </c>
      <c r="T116" s="266"/>
      <c r="U116" s="266"/>
      <c r="V116" s="266">
        <v>0.2</v>
      </c>
      <c r="W116" s="267">
        <v>0.8</v>
      </c>
      <c r="Z116" s="268">
        <v>109</v>
      </c>
      <c r="AA116" s="269"/>
      <c r="AB116" s="25">
        <v>0.28</v>
      </c>
      <c r="AC116" s="269"/>
      <c r="AD116" s="270"/>
      <c r="AG116" s="271">
        <v>109</v>
      </c>
      <c r="AH116" s="272"/>
      <c r="AI116" s="241">
        <v>0.5</v>
      </c>
      <c r="AJ116" s="272"/>
      <c r="AK116" s="273"/>
      <c r="AT116" s="465">
        <v>109</v>
      </c>
      <c r="AU116" s="472"/>
      <c r="AV116" s="473">
        <v>0.1</v>
      </c>
      <c r="AW116" s="491">
        <v>0.15</v>
      </c>
    </row>
    <row r="117" spans="1:49" ht="12.75">
      <c r="A117" s="233">
        <v>4</v>
      </c>
      <c r="B117" s="324">
        <v>108</v>
      </c>
      <c r="C117" s="237">
        <v>570</v>
      </c>
      <c r="D117" s="237">
        <v>285</v>
      </c>
      <c r="E117" s="237">
        <v>190</v>
      </c>
      <c r="F117" s="295">
        <v>163</v>
      </c>
      <c r="G117" s="236">
        <v>130</v>
      </c>
      <c r="H117" s="236">
        <v>82</v>
      </c>
      <c r="I117" s="236">
        <v>55</v>
      </c>
      <c r="J117" s="237">
        <v>0.00042</v>
      </c>
      <c r="K117" s="341">
        <v>0.329</v>
      </c>
      <c r="L117" s="236">
        <v>0.263</v>
      </c>
      <c r="M117">
        <f t="shared" si="6"/>
        <v>114</v>
      </c>
      <c r="N117" s="291">
        <f t="shared" si="7"/>
        <v>142.5</v>
      </c>
      <c r="O117" s="291">
        <f t="shared" si="8"/>
        <v>71.25</v>
      </c>
      <c r="P117" s="291">
        <f t="shared" si="9"/>
        <v>47.5</v>
      </c>
      <c r="S117" s="265">
        <v>110</v>
      </c>
      <c r="T117" s="266"/>
      <c r="U117" s="266"/>
      <c r="V117" s="266">
        <v>0.2</v>
      </c>
      <c r="W117" s="267">
        <v>0.8</v>
      </c>
      <c r="Z117" s="268">
        <v>110</v>
      </c>
      <c r="AA117" s="269"/>
      <c r="AB117" s="25">
        <v>0.28</v>
      </c>
      <c r="AC117" s="269"/>
      <c r="AD117" s="270"/>
      <c r="AG117" s="271">
        <v>110</v>
      </c>
      <c r="AH117" s="272"/>
      <c r="AI117" s="241">
        <v>0.5</v>
      </c>
      <c r="AJ117" s="272"/>
      <c r="AK117" s="273"/>
      <c r="AT117" s="466">
        <v>110</v>
      </c>
      <c r="AU117" s="472"/>
      <c r="AV117" s="473">
        <v>0.1</v>
      </c>
      <c r="AW117" s="491">
        <v>0.15</v>
      </c>
    </row>
    <row r="118" spans="1:49" ht="12.75">
      <c r="A118" s="233">
        <v>4</v>
      </c>
      <c r="B118" s="324">
        <v>109</v>
      </c>
      <c r="C118" s="237">
        <v>570</v>
      </c>
      <c r="D118" s="237">
        <v>285</v>
      </c>
      <c r="E118" s="237">
        <v>190</v>
      </c>
      <c r="F118" s="295">
        <v>163</v>
      </c>
      <c r="G118" s="236">
        <v>130</v>
      </c>
      <c r="H118" s="236">
        <v>82</v>
      </c>
      <c r="I118" s="236">
        <v>55</v>
      </c>
      <c r="J118" s="237">
        <v>0.00042</v>
      </c>
      <c r="K118" s="341">
        <v>0.329</v>
      </c>
      <c r="L118" s="236">
        <v>0.263</v>
      </c>
      <c r="M118">
        <f t="shared" si="6"/>
        <v>114</v>
      </c>
      <c r="N118" s="291">
        <f t="shared" si="7"/>
        <v>142.5</v>
      </c>
      <c r="O118" s="291">
        <f t="shared" si="8"/>
        <v>71.25</v>
      </c>
      <c r="P118" s="291">
        <f t="shared" si="9"/>
        <v>47.5</v>
      </c>
      <c r="S118" s="265">
        <v>111</v>
      </c>
      <c r="T118" s="266"/>
      <c r="U118" s="266"/>
      <c r="V118" s="266">
        <v>0.2</v>
      </c>
      <c r="W118" s="267">
        <v>0.8</v>
      </c>
      <c r="Z118" s="268">
        <v>111</v>
      </c>
      <c r="AA118" s="269"/>
      <c r="AB118" s="25">
        <v>0.28</v>
      </c>
      <c r="AC118" s="269"/>
      <c r="AD118" s="270"/>
      <c r="AG118" s="271">
        <v>111</v>
      </c>
      <c r="AH118" s="272"/>
      <c r="AI118" s="241">
        <v>0.5</v>
      </c>
      <c r="AJ118" s="272"/>
      <c r="AK118" s="273"/>
      <c r="AT118" s="465">
        <v>111</v>
      </c>
      <c r="AU118" s="472"/>
      <c r="AV118" s="473">
        <v>0.1</v>
      </c>
      <c r="AW118" s="491">
        <v>0.15</v>
      </c>
    </row>
    <row r="119" spans="1:49" ht="12.75">
      <c r="A119" s="233">
        <v>4</v>
      </c>
      <c r="B119" s="326">
        <v>110</v>
      </c>
      <c r="C119" s="329">
        <v>570</v>
      </c>
      <c r="D119" s="343">
        <v>285</v>
      </c>
      <c r="E119" s="343">
        <v>190</v>
      </c>
      <c r="F119" s="328">
        <v>163</v>
      </c>
      <c r="G119" s="329">
        <v>130</v>
      </c>
      <c r="H119" s="329">
        <v>82</v>
      </c>
      <c r="I119" s="329">
        <v>55</v>
      </c>
      <c r="J119" s="343">
        <v>0.00042</v>
      </c>
      <c r="K119" s="344">
        <v>0.329</v>
      </c>
      <c r="L119" s="329">
        <v>0.263</v>
      </c>
      <c r="M119">
        <f t="shared" si="6"/>
        <v>114</v>
      </c>
      <c r="N119" s="291">
        <f t="shared" si="7"/>
        <v>142.5</v>
      </c>
      <c r="O119" s="291">
        <f t="shared" si="8"/>
        <v>71.25</v>
      </c>
      <c r="P119" s="291">
        <f t="shared" si="9"/>
        <v>47.5</v>
      </c>
      <c r="S119" s="265">
        <v>112</v>
      </c>
      <c r="T119" s="266"/>
      <c r="U119" s="266"/>
      <c r="V119" s="266">
        <v>0.2</v>
      </c>
      <c r="W119" s="267">
        <v>0.8</v>
      </c>
      <c r="Z119" s="268">
        <v>112</v>
      </c>
      <c r="AA119" s="269"/>
      <c r="AB119" s="25">
        <v>0.28</v>
      </c>
      <c r="AC119" s="269"/>
      <c r="AD119" s="270"/>
      <c r="AG119" s="271">
        <v>112</v>
      </c>
      <c r="AH119" s="272"/>
      <c r="AI119" s="241">
        <v>0.5</v>
      </c>
      <c r="AJ119" s="272"/>
      <c r="AK119" s="273"/>
      <c r="AT119" s="465">
        <v>112</v>
      </c>
      <c r="AU119" s="472"/>
      <c r="AV119" s="473">
        <v>0.1</v>
      </c>
      <c r="AW119" s="491">
        <v>0.15</v>
      </c>
    </row>
    <row r="120" spans="1:49" ht="12.75">
      <c r="A120" s="233">
        <v>4</v>
      </c>
      <c r="B120" s="324">
        <v>111</v>
      </c>
      <c r="C120" s="237">
        <v>600</v>
      </c>
      <c r="D120" s="237">
        <v>300</v>
      </c>
      <c r="E120" s="237">
        <v>200</v>
      </c>
      <c r="F120" s="295">
        <v>163</v>
      </c>
      <c r="G120" s="236">
        <v>130</v>
      </c>
      <c r="H120" s="236">
        <v>82</v>
      </c>
      <c r="I120" s="236">
        <v>55</v>
      </c>
      <c r="J120" s="237">
        <v>0.0004</v>
      </c>
      <c r="K120" s="341">
        <v>0.313</v>
      </c>
      <c r="L120" s="236">
        <v>0.25</v>
      </c>
      <c r="M120">
        <f t="shared" si="6"/>
        <v>120</v>
      </c>
      <c r="N120" s="291">
        <f t="shared" si="7"/>
        <v>150</v>
      </c>
      <c r="O120" s="291">
        <f t="shared" si="8"/>
        <v>75</v>
      </c>
      <c r="P120" s="291">
        <f t="shared" si="9"/>
        <v>50</v>
      </c>
      <c r="S120" s="265">
        <v>113</v>
      </c>
      <c r="T120" s="266"/>
      <c r="U120" s="266"/>
      <c r="V120" s="266">
        <v>0.2</v>
      </c>
      <c r="W120" s="267">
        <v>0.8</v>
      </c>
      <c r="Z120" s="268">
        <v>113</v>
      </c>
      <c r="AA120" s="269"/>
      <c r="AB120" s="25">
        <v>0.28</v>
      </c>
      <c r="AC120" s="269"/>
      <c r="AD120" s="270"/>
      <c r="AG120" s="271">
        <v>113</v>
      </c>
      <c r="AH120" s="272"/>
      <c r="AI120" s="241">
        <v>0.5</v>
      </c>
      <c r="AJ120" s="272"/>
      <c r="AK120" s="273"/>
      <c r="AT120" s="465">
        <v>113</v>
      </c>
      <c r="AU120" s="472"/>
      <c r="AV120" s="473">
        <v>0.1</v>
      </c>
      <c r="AW120" s="491">
        <v>0.15</v>
      </c>
    </row>
    <row r="121" spans="1:49" ht="12.75">
      <c r="A121" s="233">
        <v>4</v>
      </c>
      <c r="B121" s="324">
        <v>112</v>
      </c>
      <c r="C121" s="237">
        <v>600</v>
      </c>
      <c r="D121" s="237">
        <v>300</v>
      </c>
      <c r="E121" s="237">
        <v>200</v>
      </c>
      <c r="F121" s="295">
        <v>163</v>
      </c>
      <c r="G121" s="236">
        <v>130</v>
      </c>
      <c r="H121" s="236">
        <v>82</v>
      </c>
      <c r="I121" s="236">
        <v>55</v>
      </c>
      <c r="J121" s="237">
        <v>0.0004</v>
      </c>
      <c r="K121" s="341">
        <v>0.313</v>
      </c>
      <c r="L121" s="236">
        <v>0.25</v>
      </c>
      <c r="M121">
        <f t="shared" si="6"/>
        <v>120</v>
      </c>
      <c r="N121" s="291">
        <f t="shared" si="7"/>
        <v>150</v>
      </c>
      <c r="O121" s="291">
        <f t="shared" si="8"/>
        <v>75</v>
      </c>
      <c r="P121" s="291">
        <f t="shared" si="9"/>
        <v>50</v>
      </c>
      <c r="S121" s="265">
        <v>114</v>
      </c>
      <c r="T121" s="266"/>
      <c r="U121" s="266"/>
      <c r="V121" s="266">
        <v>0.2</v>
      </c>
      <c r="W121" s="267">
        <v>0.8</v>
      </c>
      <c r="Z121" s="268">
        <v>114</v>
      </c>
      <c r="AA121" s="269"/>
      <c r="AB121" s="25">
        <v>0.28</v>
      </c>
      <c r="AC121" s="269"/>
      <c r="AD121" s="270"/>
      <c r="AG121" s="271">
        <v>114</v>
      </c>
      <c r="AH121" s="272"/>
      <c r="AI121" s="241">
        <v>0.5</v>
      </c>
      <c r="AJ121" s="272"/>
      <c r="AK121" s="273"/>
      <c r="AT121" s="465">
        <v>114</v>
      </c>
      <c r="AU121" s="472"/>
      <c r="AV121" s="473">
        <v>0.1</v>
      </c>
      <c r="AW121" s="491">
        <v>0.15</v>
      </c>
    </row>
    <row r="122" spans="1:49" ht="12.75">
      <c r="A122" s="233">
        <v>4</v>
      </c>
      <c r="B122" s="324">
        <v>113</v>
      </c>
      <c r="C122" s="237">
        <v>600</v>
      </c>
      <c r="D122" s="237">
        <v>300</v>
      </c>
      <c r="E122" s="237">
        <v>200</v>
      </c>
      <c r="F122" s="295">
        <v>163</v>
      </c>
      <c r="G122" s="236">
        <v>130</v>
      </c>
      <c r="H122" s="236">
        <v>82</v>
      </c>
      <c r="I122" s="236">
        <v>55</v>
      </c>
      <c r="J122" s="237">
        <v>0.0004</v>
      </c>
      <c r="K122" s="341">
        <v>0.313</v>
      </c>
      <c r="L122" s="236">
        <v>0.25</v>
      </c>
      <c r="M122">
        <f t="shared" si="6"/>
        <v>120</v>
      </c>
      <c r="N122" s="291">
        <f t="shared" si="7"/>
        <v>150</v>
      </c>
      <c r="O122" s="291">
        <f t="shared" si="8"/>
        <v>75</v>
      </c>
      <c r="P122" s="291">
        <f t="shared" si="9"/>
        <v>50</v>
      </c>
      <c r="S122" s="265">
        <v>115</v>
      </c>
      <c r="T122" s="266"/>
      <c r="U122" s="266"/>
      <c r="V122" s="266">
        <v>0.2</v>
      </c>
      <c r="W122" s="267">
        <v>0.8</v>
      </c>
      <c r="Z122" s="268">
        <v>115</v>
      </c>
      <c r="AA122" s="269"/>
      <c r="AB122" s="25">
        <v>0.28</v>
      </c>
      <c r="AC122" s="269"/>
      <c r="AD122" s="270"/>
      <c r="AG122" s="271">
        <v>115</v>
      </c>
      <c r="AH122" s="272"/>
      <c r="AI122" s="241">
        <v>0.5</v>
      </c>
      <c r="AJ122" s="272"/>
      <c r="AK122" s="273"/>
      <c r="AT122" s="466">
        <v>115</v>
      </c>
      <c r="AU122" s="472"/>
      <c r="AV122" s="473">
        <v>0.1</v>
      </c>
      <c r="AW122" s="491">
        <v>0.15</v>
      </c>
    </row>
    <row r="123" spans="1:49" ht="12.75">
      <c r="A123" s="233">
        <v>4</v>
      </c>
      <c r="B123" s="324">
        <v>114</v>
      </c>
      <c r="C123" s="237">
        <v>600</v>
      </c>
      <c r="D123" s="237">
        <v>300</v>
      </c>
      <c r="E123" s="237">
        <v>200</v>
      </c>
      <c r="F123" s="295">
        <v>163</v>
      </c>
      <c r="G123" s="236">
        <v>130</v>
      </c>
      <c r="H123" s="236">
        <v>82</v>
      </c>
      <c r="I123" s="236">
        <v>55</v>
      </c>
      <c r="J123" s="237">
        <v>0.0004</v>
      </c>
      <c r="K123" s="341">
        <v>0.313</v>
      </c>
      <c r="L123" s="236">
        <v>0.25</v>
      </c>
      <c r="M123">
        <f t="shared" si="6"/>
        <v>120</v>
      </c>
      <c r="N123" s="291">
        <f t="shared" si="7"/>
        <v>150</v>
      </c>
      <c r="O123" s="291">
        <f t="shared" si="8"/>
        <v>75</v>
      </c>
      <c r="P123" s="291">
        <f t="shared" si="9"/>
        <v>50</v>
      </c>
      <c r="S123" s="265">
        <v>116</v>
      </c>
      <c r="T123" s="266"/>
      <c r="U123" s="266"/>
      <c r="V123" s="266">
        <v>0.2</v>
      </c>
      <c r="W123" s="267">
        <v>0.8</v>
      </c>
      <c r="Z123" s="268">
        <v>116</v>
      </c>
      <c r="AA123" s="269"/>
      <c r="AB123" s="25">
        <v>0.28</v>
      </c>
      <c r="AC123" s="269"/>
      <c r="AD123" s="270"/>
      <c r="AG123" s="271">
        <v>116</v>
      </c>
      <c r="AH123" s="272"/>
      <c r="AI123" s="241">
        <v>0.5</v>
      </c>
      <c r="AJ123" s="272"/>
      <c r="AK123" s="273"/>
      <c r="AT123" s="465">
        <v>116</v>
      </c>
      <c r="AU123" s="472"/>
      <c r="AV123" s="473">
        <v>0.1</v>
      </c>
      <c r="AW123" s="491">
        <v>0.15</v>
      </c>
    </row>
    <row r="124" spans="1:49" ht="12.75">
      <c r="A124" s="233">
        <v>4</v>
      </c>
      <c r="B124" s="326">
        <v>115</v>
      </c>
      <c r="C124" s="329">
        <v>600</v>
      </c>
      <c r="D124" s="343">
        <v>300</v>
      </c>
      <c r="E124" s="343">
        <v>200</v>
      </c>
      <c r="F124" s="328">
        <v>163</v>
      </c>
      <c r="G124" s="329">
        <v>130</v>
      </c>
      <c r="H124" s="329">
        <v>82</v>
      </c>
      <c r="I124" s="329">
        <v>55</v>
      </c>
      <c r="J124" s="343">
        <v>0.0004</v>
      </c>
      <c r="K124" s="344">
        <v>0.313</v>
      </c>
      <c r="L124" s="329">
        <v>0.25</v>
      </c>
      <c r="M124">
        <f t="shared" si="6"/>
        <v>120</v>
      </c>
      <c r="N124" s="291">
        <f t="shared" si="7"/>
        <v>150</v>
      </c>
      <c r="O124" s="291">
        <f t="shared" si="8"/>
        <v>75</v>
      </c>
      <c r="P124" s="291">
        <f t="shared" si="9"/>
        <v>50</v>
      </c>
      <c r="S124" s="265">
        <v>117</v>
      </c>
      <c r="T124" s="266"/>
      <c r="U124" s="266"/>
      <c r="V124" s="266">
        <v>0.2</v>
      </c>
      <c r="W124" s="267">
        <v>0.8</v>
      </c>
      <c r="Z124" s="268">
        <v>117</v>
      </c>
      <c r="AA124" s="269"/>
      <c r="AB124" s="25">
        <v>0.28</v>
      </c>
      <c r="AC124" s="269"/>
      <c r="AD124" s="270"/>
      <c r="AG124" s="271">
        <v>117</v>
      </c>
      <c r="AH124" s="272"/>
      <c r="AI124" s="241">
        <v>0.5</v>
      </c>
      <c r="AJ124" s="272"/>
      <c r="AK124" s="273"/>
      <c r="AT124" s="465">
        <v>117</v>
      </c>
      <c r="AU124" s="472"/>
      <c r="AV124" s="473">
        <v>0.1</v>
      </c>
      <c r="AW124" s="491">
        <v>0.15</v>
      </c>
    </row>
    <row r="125" spans="1:49" ht="12.75">
      <c r="A125" s="233">
        <v>4</v>
      </c>
      <c r="B125" s="324">
        <v>116</v>
      </c>
      <c r="C125" s="237">
        <v>650</v>
      </c>
      <c r="D125" s="237">
        <v>325</v>
      </c>
      <c r="E125" s="237">
        <v>217</v>
      </c>
      <c r="F125" s="295">
        <v>163</v>
      </c>
      <c r="G125" s="236">
        <v>130</v>
      </c>
      <c r="H125" s="236">
        <v>82</v>
      </c>
      <c r="I125" s="236">
        <v>55</v>
      </c>
      <c r="J125" s="237">
        <v>0.00037</v>
      </c>
      <c r="K125" s="341">
        <v>0.288</v>
      </c>
      <c r="L125" s="236">
        <v>0.231</v>
      </c>
      <c r="M125">
        <f t="shared" si="6"/>
        <v>130</v>
      </c>
      <c r="N125" s="291">
        <f t="shared" si="7"/>
        <v>162.5</v>
      </c>
      <c r="O125" s="291">
        <f t="shared" si="8"/>
        <v>81.25</v>
      </c>
      <c r="P125" s="291">
        <f t="shared" si="9"/>
        <v>54.166666666666664</v>
      </c>
      <c r="S125" s="265">
        <v>118</v>
      </c>
      <c r="T125" s="266"/>
      <c r="U125" s="266"/>
      <c r="V125" s="266">
        <v>0.2</v>
      </c>
      <c r="W125" s="267">
        <v>0.8</v>
      </c>
      <c r="Z125" s="268">
        <v>118</v>
      </c>
      <c r="AA125" s="269"/>
      <c r="AB125" s="25">
        <v>0.28</v>
      </c>
      <c r="AC125" s="269"/>
      <c r="AD125" s="270"/>
      <c r="AG125" s="271">
        <v>118</v>
      </c>
      <c r="AH125" s="272"/>
      <c r="AI125" s="241">
        <v>0.5</v>
      </c>
      <c r="AJ125" s="272"/>
      <c r="AK125" s="273"/>
      <c r="AT125" s="465">
        <v>118</v>
      </c>
      <c r="AU125" s="472"/>
      <c r="AV125" s="473">
        <v>0.1</v>
      </c>
      <c r="AW125" s="491">
        <v>0.15</v>
      </c>
    </row>
    <row r="126" spans="1:49" ht="12.75">
      <c r="A126" s="233">
        <v>4</v>
      </c>
      <c r="B126" s="324">
        <v>117</v>
      </c>
      <c r="C126" s="237">
        <v>650</v>
      </c>
      <c r="D126" s="237">
        <v>325</v>
      </c>
      <c r="E126" s="237">
        <v>217</v>
      </c>
      <c r="F126" s="295">
        <v>163</v>
      </c>
      <c r="G126" s="236">
        <v>130</v>
      </c>
      <c r="H126" s="236">
        <v>82</v>
      </c>
      <c r="I126" s="236">
        <v>55</v>
      </c>
      <c r="J126" s="237">
        <v>0.00037</v>
      </c>
      <c r="K126" s="341">
        <v>0.288</v>
      </c>
      <c r="L126" s="236">
        <v>0.231</v>
      </c>
      <c r="M126">
        <f t="shared" si="6"/>
        <v>130</v>
      </c>
      <c r="N126" s="291">
        <f t="shared" si="7"/>
        <v>162.5</v>
      </c>
      <c r="O126" s="291">
        <f t="shared" si="8"/>
        <v>81.25</v>
      </c>
      <c r="P126" s="291">
        <f t="shared" si="9"/>
        <v>54.166666666666664</v>
      </c>
      <c r="S126" s="265">
        <v>119</v>
      </c>
      <c r="T126" s="266"/>
      <c r="U126" s="266"/>
      <c r="V126" s="266">
        <v>0.2</v>
      </c>
      <c r="W126" s="267">
        <v>0.8</v>
      </c>
      <c r="Z126" s="268">
        <v>119</v>
      </c>
      <c r="AA126" s="269"/>
      <c r="AB126" s="25">
        <v>0.28</v>
      </c>
      <c r="AC126" s="269"/>
      <c r="AD126" s="270"/>
      <c r="AG126" s="271">
        <v>119</v>
      </c>
      <c r="AH126" s="272"/>
      <c r="AI126" s="241">
        <v>0.5</v>
      </c>
      <c r="AJ126" s="272"/>
      <c r="AK126" s="273"/>
      <c r="AT126" s="465">
        <v>119</v>
      </c>
      <c r="AU126" s="472"/>
      <c r="AV126" s="473">
        <v>0.1</v>
      </c>
      <c r="AW126" s="491">
        <v>0.15</v>
      </c>
    </row>
    <row r="127" spans="1:49" ht="13.5" thickBot="1">
      <c r="A127" s="233">
        <v>4</v>
      </c>
      <c r="B127" s="324">
        <v>118</v>
      </c>
      <c r="C127" s="237">
        <v>650</v>
      </c>
      <c r="D127" s="237">
        <v>325</v>
      </c>
      <c r="E127" s="237">
        <v>217</v>
      </c>
      <c r="F127" s="295">
        <v>163</v>
      </c>
      <c r="G127" s="236">
        <v>130</v>
      </c>
      <c r="H127" s="236">
        <v>82</v>
      </c>
      <c r="I127" s="236">
        <v>55</v>
      </c>
      <c r="J127" s="237">
        <v>0.00037</v>
      </c>
      <c r="K127" s="341">
        <v>0.288</v>
      </c>
      <c r="L127" s="236">
        <v>0.231</v>
      </c>
      <c r="M127">
        <f t="shared" si="6"/>
        <v>130</v>
      </c>
      <c r="N127" s="291">
        <f t="shared" si="7"/>
        <v>162.5</v>
      </c>
      <c r="O127" s="291">
        <f t="shared" si="8"/>
        <v>81.25</v>
      </c>
      <c r="P127" s="291">
        <f t="shared" si="9"/>
        <v>54.166666666666664</v>
      </c>
      <c r="S127" s="274">
        <v>120</v>
      </c>
      <c r="T127" s="275"/>
      <c r="U127" s="275"/>
      <c r="V127" s="275">
        <v>0.2</v>
      </c>
      <c r="W127" s="276">
        <v>0.8</v>
      </c>
      <c r="Z127" s="268">
        <v>120</v>
      </c>
      <c r="AA127" s="278"/>
      <c r="AB127" s="25">
        <v>0.28</v>
      </c>
      <c r="AC127" s="269"/>
      <c r="AD127" s="270"/>
      <c r="AG127" s="271">
        <v>120</v>
      </c>
      <c r="AH127" s="307"/>
      <c r="AI127" s="241">
        <v>0.5</v>
      </c>
      <c r="AJ127" s="272"/>
      <c r="AK127" s="273"/>
      <c r="AT127" s="466">
        <v>120</v>
      </c>
      <c r="AU127" s="458"/>
      <c r="AV127" s="459">
        <v>0.1</v>
      </c>
      <c r="AW127" s="492">
        <v>0.15</v>
      </c>
    </row>
    <row r="128" spans="1:49" ht="13.5" thickBot="1">
      <c r="A128" s="233">
        <v>4</v>
      </c>
      <c r="B128" s="324">
        <v>119</v>
      </c>
      <c r="C128" s="237">
        <v>650</v>
      </c>
      <c r="D128" s="237">
        <v>325</v>
      </c>
      <c r="E128" s="237">
        <v>217</v>
      </c>
      <c r="F128" s="295">
        <v>163</v>
      </c>
      <c r="G128" s="236">
        <v>130</v>
      </c>
      <c r="H128" s="236">
        <v>82</v>
      </c>
      <c r="I128" s="236">
        <v>55</v>
      </c>
      <c r="J128" s="237">
        <v>0.00037</v>
      </c>
      <c r="K128" s="341">
        <v>0.288</v>
      </c>
      <c r="L128" s="236">
        <v>0.231</v>
      </c>
      <c r="M128">
        <f t="shared" si="6"/>
        <v>130</v>
      </c>
      <c r="N128" s="291">
        <f t="shared" si="7"/>
        <v>162.5</v>
      </c>
      <c r="O128" s="291">
        <f t="shared" si="8"/>
        <v>81.25</v>
      </c>
      <c r="P128" s="291">
        <f t="shared" si="9"/>
        <v>54.166666666666664</v>
      </c>
      <c r="S128" s="338">
        <v>121</v>
      </c>
      <c r="T128" s="339"/>
      <c r="U128" s="339"/>
      <c r="V128" s="339">
        <v>0.1</v>
      </c>
      <c r="W128" s="340">
        <v>0.9</v>
      </c>
      <c r="Z128" s="345">
        <v>121</v>
      </c>
      <c r="AA128" s="346"/>
      <c r="AB128" s="346">
        <v>0</v>
      </c>
      <c r="AC128" s="346"/>
      <c r="AD128" s="347"/>
      <c r="AG128" s="348">
        <v>121</v>
      </c>
      <c r="AH128" s="349"/>
      <c r="AI128" s="349">
        <v>0.5</v>
      </c>
      <c r="AJ128" s="349"/>
      <c r="AK128" s="350"/>
      <c r="AT128" s="464">
        <v>121</v>
      </c>
      <c r="AU128" s="472" t="s">
        <v>597</v>
      </c>
      <c r="AV128" s="493">
        <v>0.75</v>
      </c>
      <c r="AW128" s="494">
        <v>0.125</v>
      </c>
    </row>
    <row r="129" spans="1:49" ht="12.75">
      <c r="A129" s="233">
        <v>4</v>
      </c>
      <c r="B129" s="326">
        <v>120</v>
      </c>
      <c r="C129" s="329">
        <v>650</v>
      </c>
      <c r="D129" s="343">
        <v>325</v>
      </c>
      <c r="E129" s="343">
        <v>217</v>
      </c>
      <c r="F129" s="328">
        <v>163</v>
      </c>
      <c r="G129" s="329">
        <v>130</v>
      </c>
      <c r="H129" s="329">
        <v>82</v>
      </c>
      <c r="I129" s="329">
        <v>55</v>
      </c>
      <c r="J129" s="343">
        <v>0.00037</v>
      </c>
      <c r="K129" s="344">
        <v>0.288</v>
      </c>
      <c r="L129" s="329">
        <v>0.231</v>
      </c>
      <c r="M129">
        <f t="shared" si="6"/>
        <v>130</v>
      </c>
      <c r="N129" s="291">
        <f t="shared" si="7"/>
        <v>162.5</v>
      </c>
      <c r="O129" s="291">
        <f t="shared" si="8"/>
        <v>81.25</v>
      </c>
      <c r="P129" s="291">
        <f t="shared" si="9"/>
        <v>54.166666666666664</v>
      </c>
      <c r="AT129" s="467">
        <v>122</v>
      </c>
      <c r="AU129" s="472"/>
      <c r="AV129" s="493">
        <v>0.75</v>
      </c>
      <c r="AW129" s="494">
        <v>0.125</v>
      </c>
    </row>
    <row r="130" spans="1:49" ht="12.75">
      <c r="A130" s="351" t="s">
        <v>511</v>
      </c>
      <c r="B130" s="318">
        <v>121</v>
      </c>
      <c r="C130" s="352">
        <v>680</v>
      </c>
      <c r="D130" s="353">
        <v>340</v>
      </c>
      <c r="E130" s="353">
        <v>227</v>
      </c>
      <c r="F130" s="354">
        <v>208</v>
      </c>
      <c r="G130" s="352">
        <v>166</v>
      </c>
      <c r="H130" s="353">
        <v>104</v>
      </c>
      <c r="I130" s="353">
        <v>70</v>
      </c>
      <c r="J130" s="353">
        <v>0.000353</v>
      </c>
      <c r="K130" s="355">
        <v>0.245</v>
      </c>
      <c r="L130" s="352">
        <v>0.221</v>
      </c>
      <c r="M130">
        <f t="shared" si="6"/>
        <v>136</v>
      </c>
      <c r="N130" s="291">
        <f t="shared" si="7"/>
        <v>170</v>
      </c>
      <c r="O130" s="291">
        <f t="shared" si="8"/>
        <v>85</v>
      </c>
      <c r="P130" s="291">
        <f t="shared" si="9"/>
        <v>56.666666666666664</v>
      </c>
      <c r="AT130" s="467">
        <v>123</v>
      </c>
      <c r="AU130" s="472"/>
      <c r="AV130" s="493">
        <v>0.75</v>
      </c>
      <c r="AW130" s="494">
        <v>0.125</v>
      </c>
    </row>
    <row r="131" spans="1:49" ht="12.75">
      <c r="A131" s="351" t="s">
        <v>511</v>
      </c>
      <c r="B131" s="356">
        <v>122</v>
      </c>
      <c r="C131" s="288">
        <v>710</v>
      </c>
      <c r="D131" s="288">
        <v>355</v>
      </c>
      <c r="E131" s="288">
        <v>237</v>
      </c>
      <c r="F131" s="289">
        <v>208</v>
      </c>
      <c r="G131" s="290">
        <v>166</v>
      </c>
      <c r="H131" s="290">
        <v>104</v>
      </c>
      <c r="I131" s="288">
        <v>70</v>
      </c>
      <c r="J131" s="288">
        <v>0.000388</v>
      </c>
      <c r="K131" s="305">
        <v>0.235</v>
      </c>
      <c r="L131" s="290">
        <v>0.211</v>
      </c>
      <c r="M131">
        <f t="shared" si="6"/>
        <v>142</v>
      </c>
      <c r="N131" s="291">
        <f t="shared" si="7"/>
        <v>177.5</v>
      </c>
      <c r="O131" s="291">
        <f t="shared" si="8"/>
        <v>88.75</v>
      </c>
      <c r="P131" s="291">
        <f t="shared" si="9"/>
        <v>59.166666666666664</v>
      </c>
      <c r="AT131" s="467">
        <v>124</v>
      </c>
      <c r="AU131" s="472"/>
      <c r="AV131" s="493">
        <v>0.75</v>
      </c>
      <c r="AW131" s="494">
        <v>0.125</v>
      </c>
    </row>
    <row r="132" spans="1:49" ht="12.75">
      <c r="A132" s="351" t="s">
        <v>511</v>
      </c>
      <c r="B132" s="356">
        <v>123</v>
      </c>
      <c r="C132" s="288">
        <v>710</v>
      </c>
      <c r="D132" s="288">
        <v>355</v>
      </c>
      <c r="E132" s="288">
        <v>237</v>
      </c>
      <c r="F132" s="289">
        <v>208</v>
      </c>
      <c r="G132" s="290">
        <v>166</v>
      </c>
      <c r="H132" s="290">
        <v>104</v>
      </c>
      <c r="I132" s="288">
        <v>70</v>
      </c>
      <c r="J132" s="288">
        <v>0.000388</v>
      </c>
      <c r="K132" s="305">
        <v>0.235</v>
      </c>
      <c r="L132" s="290">
        <v>0.211</v>
      </c>
      <c r="M132">
        <f t="shared" si="6"/>
        <v>142</v>
      </c>
      <c r="N132" s="291">
        <f t="shared" si="7"/>
        <v>177.5</v>
      </c>
      <c r="O132" s="291">
        <f t="shared" si="8"/>
        <v>88.75</v>
      </c>
      <c r="P132" s="291">
        <f t="shared" si="9"/>
        <v>59.166666666666664</v>
      </c>
      <c r="AT132" s="467">
        <v>125</v>
      </c>
      <c r="AU132" s="472"/>
      <c r="AV132" s="493">
        <v>0.75</v>
      </c>
      <c r="AW132" s="494">
        <v>0.125</v>
      </c>
    </row>
    <row r="133" spans="1:49" ht="12.75">
      <c r="A133" s="351" t="s">
        <v>511</v>
      </c>
      <c r="B133" s="356">
        <v>124</v>
      </c>
      <c r="C133" s="288">
        <v>710</v>
      </c>
      <c r="D133" s="288">
        <v>355</v>
      </c>
      <c r="E133" s="288">
        <v>237</v>
      </c>
      <c r="F133" s="289">
        <v>208</v>
      </c>
      <c r="G133" s="290">
        <v>166</v>
      </c>
      <c r="H133" s="290">
        <v>104</v>
      </c>
      <c r="I133" s="288">
        <v>70</v>
      </c>
      <c r="J133" s="288">
        <v>0.000388</v>
      </c>
      <c r="K133" s="305">
        <v>0.235</v>
      </c>
      <c r="L133" s="290">
        <v>0.211</v>
      </c>
      <c r="M133">
        <f t="shared" si="6"/>
        <v>142</v>
      </c>
      <c r="N133" s="291">
        <f t="shared" si="7"/>
        <v>177.5</v>
      </c>
      <c r="O133" s="291">
        <f t="shared" si="8"/>
        <v>88.75</v>
      </c>
      <c r="P133" s="291">
        <f t="shared" si="9"/>
        <v>59.166666666666664</v>
      </c>
      <c r="AT133" s="467">
        <v>126</v>
      </c>
      <c r="AU133" s="472"/>
      <c r="AV133" s="493">
        <v>0.75</v>
      </c>
      <c r="AW133" s="494">
        <v>0.125</v>
      </c>
    </row>
    <row r="134" spans="1:49" ht="12.75">
      <c r="A134" s="351" t="s">
        <v>511</v>
      </c>
      <c r="B134" s="356">
        <v>125</v>
      </c>
      <c r="C134" s="288">
        <v>710</v>
      </c>
      <c r="D134" s="288">
        <v>355</v>
      </c>
      <c r="E134" s="288">
        <v>237</v>
      </c>
      <c r="F134" s="289">
        <v>208</v>
      </c>
      <c r="G134" s="290">
        <v>166</v>
      </c>
      <c r="H134" s="290">
        <v>104</v>
      </c>
      <c r="I134" s="288">
        <v>70</v>
      </c>
      <c r="J134" s="288">
        <v>0.000388</v>
      </c>
      <c r="K134" s="305">
        <v>0.235</v>
      </c>
      <c r="L134" s="290">
        <v>0.211</v>
      </c>
      <c r="M134">
        <f t="shared" si="6"/>
        <v>142</v>
      </c>
      <c r="N134" s="291">
        <f t="shared" si="7"/>
        <v>177.5</v>
      </c>
      <c r="O134" s="291">
        <f t="shared" si="8"/>
        <v>88.75</v>
      </c>
      <c r="P134" s="291">
        <f t="shared" si="9"/>
        <v>59.166666666666664</v>
      </c>
      <c r="AT134" s="467">
        <v>127</v>
      </c>
      <c r="AU134" s="472"/>
      <c r="AV134" s="493">
        <v>0.75</v>
      </c>
      <c r="AW134" s="494">
        <v>0.125</v>
      </c>
    </row>
    <row r="135" spans="1:49" ht="12.75">
      <c r="A135" s="351" t="s">
        <v>511</v>
      </c>
      <c r="B135" s="356">
        <v>126</v>
      </c>
      <c r="C135" s="288">
        <v>710</v>
      </c>
      <c r="D135" s="288">
        <v>355</v>
      </c>
      <c r="E135" s="288">
        <v>237</v>
      </c>
      <c r="F135" s="289">
        <v>208</v>
      </c>
      <c r="G135" s="290">
        <v>166</v>
      </c>
      <c r="H135" s="290">
        <v>104</v>
      </c>
      <c r="I135" s="288">
        <v>70</v>
      </c>
      <c r="J135" s="288">
        <v>0.000388</v>
      </c>
      <c r="K135" s="305">
        <v>0.235</v>
      </c>
      <c r="L135" s="290">
        <v>0.211</v>
      </c>
      <c r="M135">
        <f t="shared" si="6"/>
        <v>142</v>
      </c>
      <c r="N135" s="291">
        <f t="shared" si="7"/>
        <v>177.5</v>
      </c>
      <c r="O135" s="291">
        <f t="shared" si="8"/>
        <v>88.75</v>
      </c>
      <c r="P135" s="291">
        <f t="shared" si="9"/>
        <v>59.166666666666664</v>
      </c>
      <c r="AT135" s="467">
        <v>128</v>
      </c>
      <c r="AU135" s="472"/>
      <c r="AV135" s="493">
        <v>0.75</v>
      </c>
      <c r="AW135" s="494">
        <v>0.125</v>
      </c>
    </row>
    <row r="136" spans="1:49" ht="12.75">
      <c r="A136" s="351" t="s">
        <v>511</v>
      </c>
      <c r="B136" s="356">
        <v>127</v>
      </c>
      <c r="C136" s="288">
        <v>710</v>
      </c>
      <c r="D136" s="288">
        <v>355</v>
      </c>
      <c r="E136" s="288">
        <v>237</v>
      </c>
      <c r="F136" s="289">
        <v>208</v>
      </c>
      <c r="G136" s="290">
        <v>166</v>
      </c>
      <c r="H136" s="290">
        <v>104</v>
      </c>
      <c r="I136" s="288">
        <v>70</v>
      </c>
      <c r="J136" s="288">
        <v>0.000388</v>
      </c>
      <c r="K136" s="305">
        <v>0.235</v>
      </c>
      <c r="L136" s="290">
        <v>0.211</v>
      </c>
      <c r="M136">
        <f t="shared" si="6"/>
        <v>142</v>
      </c>
      <c r="N136" s="291">
        <f t="shared" si="7"/>
        <v>177.5</v>
      </c>
      <c r="O136" s="291">
        <f t="shared" si="8"/>
        <v>88.75</v>
      </c>
      <c r="P136" s="291">
        <f t="shared" si="9"/>
        <v>59.166666666666664</v>
      </c>
      <c r="AT136" s="467">
        <v>129</v>
      </c>
      <c r="AU136" s="472"/>
      <c r="AV136" s="493">
        <v>0.75</v>
      </c>
      <c r="AW136" s="494">
        <v>0.125</v>
      </c>
    </row>
    <row r="137" spans="1:49" ht="12.75">
      <c r="A137" s="351" t="s">
        <v>511</v>
      </c>
      <c r="B137" s="356">
        <v>128</v>
      </c>
      <c r="C137" s="288">
        <v>710</v>
      </c>
      <c r="D137" s="288">
        <v>355</v>
      </c>
      <c r="E137" s="288">
        <v>237</v>
      </c>
      <c r="F137" s="289">
        <v>208</v>
      </c>
      <c r="G137" s="290">
        <v>166</v>
      </c>
      <c r="H137" s="290">
        <v>104</v>
      </c>
      <c r="I137" s="288">
        <v>70</v>
      </c>
      <c r="J137" s="288">
        <v>0.000388</v>
      </c>
      <c r="K137" s="305">
        <v>0.235</v>
      </c>
      <c r="L137" s="290">
        <v>0.211</v>
      </c>
      <c r="M137">
        <f t="shared" si="6"/>
        <v>142</v>
      </c>
      <c r="N137" s="291">
        <f t="shared" si="7"/>
        <v>177.5</v>
      </c>
      <c r="O137" s="291">
        <f t="shared" si="8"/>
        <v>88.75</v>
      </c>
      <c r="P137" s="291">
        <f t="shared" si="9"/>
        <v>59.166666666666664</v>
      </c>
      <c r="AT137" s="468">
        <v>130</v>
      </c>
      <c r="AU137" s="472"/>
      <c r="AV137" s="493">
        <v>0.75</v>
      </c>
      <c r="AW137" s="494">
        <v>0.125</v>
      </c>
    </row>
    <row r="138" spans="1:49" ht="12.75">
      <c r="A138" s="351" t="s">
        <v>511</v>
      </c>
      <c r="B138" s="356">
        <v>129</v>
      </c>
      <c r="C138" s="288">
        <v>710</v>
      </c>
      <c r="D138" s="288">
        <v>355</v>
      </c>
      <c r="E138" s="288">
        <v>237</v>
      </c>
      <c r="F138" s="289">
        <v>208</v>
      </c>
      <c r="G138" s="290">
        <v>166</v>
      </c>
      <c r="H138" s="290">
        <v>104</v>
      </c>
      <c r="I138" s="288">
        <v>70</v>
      </c>
      <c r="J138" s="288">
        <v>0.000388</v>
      </c>
      <c r="K138" s="305">
        <v>0.235</v>
      </c>
      <c r="L138" s="290">
        <v>0.211</v>
      </c>
      <c r="M138">
        <f t="shared" si="6"/>
        <v>142</v>
      </c>
      <c r="N138" s="291">
        <f t="shared" si="7"/>
        <v>177.5</v>
      </c>
      <c r="O138" s="291">
        <f t="shared" si="8"/>
        <v>88.75</v>
      </c>
      <c r="P138" s="291">
        <f t="shared" si="9"/>
        <v>59.166666666666664</v>
      </c>
      <c r="AT138" s="467">
        <v>131</v>
      </c>
      <c r="AU138" s="472"/>
      <c r="AV138" s="493">
        <v>0.75</v>
      </c>
      <c r="AW138" s="494">
        <v>0.125</v>
      </c>
    </row>
    <row r="139" spans="1:49" ht="12.75">
      <c r="A139" s="351" t="s">
        <v>511</v>
      </c>
      <c r="B139" s="357">
        <v>130</v>
      </c>
      <c r="C139" s="358">
        <v>710</v>
      </c>
      <c r="D139" s="359">
        <v>355</v>
      </c>
      <c r="E139" s="358">
        <v>237</v>
      </c>
      <c r="F139" s="360">
        <v>208</v>
      </c>
      <c r="G139" s="358">
        <v>166</v>
      </c>
      <c r="H139" s="358">
        <v>104</v>
      </c>
      <c r="I139" s="359">
        <v>70</v>
      </c>
      <c r="J139" s="359">
        <v>0.000388</v>
      </c>
      <c r="K139" s="361">
        <v>0.235</v>
      </c>
      <c r="L139" s="358">
        <v>0.211</v>
      </c>
      <c r="M139">
        <f t="shared" si="6"/>
        <v>142</v>
      </c>
      <c r="N139" s="291">
        <f t="shared" si="7"/>
        <v>177.5</v>
      </c>
      <c r="O139" s="291">
        <f t="shared" si="8"/>
        <v>88.75</v>
      </c>
      <c r="P139" s="291">
        <f t="shared" si="9"/>
        <v>59.166666666666664</v>
      </c>
      <c r="AT139" s="467">
        <v>132</v>
      </c>
      <c r="AU139" s="472"/>
      <c r="AV139" s="493">
        <v>0.75</v>
      </c>
      <c r="AW139" s="494">
        <v>0.125</v>
      </c>
    </row>
    <row r="140" spans="1:49" ht="12.75">
      <c r="A140" s="351" t="s">
        <v>511</v>
      </c>
      <c r="B140" s="356">
        <v>131</v>
      </c>
      <c r="C140" s="288">
        <v>740</v>
      </c>
      <c r="D140" s="288">
        <v>370</v>
      </c>
      <c r="E140" s="288">
        <v>247</v>
      </c>
      <c r="F140" s="289">
        <v>208</v>
      </c>
      <c r="G140" s="290">
        <v>166</v>
      </c>
      <c r="H140" s="288">
        <v>104</v>
      </c>
      <c r="I140" s="288">
        <v>70</v>
      </c>
      <c r="J140" s="288">
        <v>0.000324</v>
      </c>
      <c r="K140" s="305">
        <v>0.225</v>
      </c>
      <c r="L140" s="290">
        <v>0.203</v>
      </c>
      <c r="M140">
        <f t="shared" si="6"/>
        <v>148</v>
      </c>
      <c r="N140" s="291">
        <f t="shared" si="7"/>
        <v>185</v>
      </c>
      <c r="O140" s="291">
        <f t="shared" si="8"/>
        <v>92.5</v>
      </c>
      <c r="P140" s="291">
        <f t="shared" si="9"/>
        <v>61.666666666666664</v>
      </c>
      <c r="AT140" s="467">
        <v>133</v>
      </c>
      <c r="AU140" s="472"/>
      <c r="AV140" s="493">
        <v>0.75</v>
      </c>
      <c r="AW140" s="494">
        <v>0.125</v>
      </c>
    </row>
    <row r="141" spans="1:49" ht="12.75">
      <c r="A141" s="351" t="s">
        <v>511</v>
      </c>
      <c r="B141" s="356">
        <v>132</v>
      </c>
      <c r="C141" s="288">
        <v>740</v>
      </c>
      <c r="D141" s="288">
        <v>370</v>
      </c>
      <c r="E141" s="288">
        <v>247</v>
      </c>
      <c r="F141" s="289">
        <v>208</v>
      </c>
      <c r="G141" s="290">
        <v>166</v>
      </c>
      <c r="H141" s="288">
        <v>104</v>
      </c>
      <c r="I141" s="288">
        <v>70</v>
      </c>
      <c r="J141" s="288">
        <v>0.000324</v>
      </c>
      <c r="K141" s="305">
        <v>0.225</v>
      </c>
      <c r="L141" s="290">
        <v>0.203</v>
      </c>
      <c r="M141">
        <f t="shared" si="6"/>
        <v>148</v>
      </c>
      <c r="N141" s="291">
        <f t="shared" si="7"/>
        <v>185</v>
      </c>
      <c r="O141" s="291">
        <f t="shared" si="8"/>
        <v>92.5</v>
      </c>
      <c r="P141" s="291">
        <f t="shared" si="9"/>
        <v>61.666666666666664</v>
      </c>
      <c r="AT141" s="467">
        <v>134</v>
      </c>
      <c r="AU141" s="472"/>
      <c r="AV141" s="493">
        <v>0.75</v>
      </c>
      <c r="AW141" s="494">
        <v>0.125</v>
      </c>
    </row>
    <row r="142" spans="1:49" ht="12.75">
      <c r="A142" s="351" t="s">
        <v>511</v>
      </c>
      <c r="B142" s="356">
        <v>133</v>
      </c>
      <c r="C142" s="288">
        <v>740</v>
      </c>
      <c r="D142" s="288">
        <v>370</v>
      </c>
      <c r="E142" s="288">
        <v>247</v>
      </c>
      <c r="F142" s="289">
        <v>208</v>
      </c>
      <c r="G142" s="290">
        <v>166</v>
      </c>
      <c r="H142" s="288">
        <v>104</v>
      </c>
      <c r="I142" s="288">
        <v>70</v>
      </c>
      <c r="J142" s="288">
        <v>0.000324</v>
      </c>
      <c r="K142" s="305">
        <v>0.225</v>
      </c>
      <c r="L142" s="290">
        <v>0.203</v>
      </c>
      <c r="M142">
        <f t="shared" si="6"/>
        <v>148</v>
      </c>
      <c r="N142" s="291">
        <f t="shared" si="7"/>
        <v>185</v>
      </c>
      <c r="O142" s="291">
        <f t="shared" si="8"/>
        <v>92.5</v>
      </c>
      <c r="P142" s="291">
        <f t="shared" si="9"/>
        <v>61.666666666666664</v>
      </c>
      <c r="AT142" s="468">
        <v>135</v>
      </c>
      <c r="AU142" s="472"/>
      <c r="AV142" s="493">
        <v>0.75</v>
      </c>
      <c r="AW142" s="494">
        <v>0.125</v>
      </c>
    </row>
    <row r="143" spans="1:49" ht="12.75">
      <c r="A143" s="351" t="s">
        <v>511</v>
      </c>
      <c r="B143" s="356">
        <v>134</v>
      </c>
      <c r="C143" s="288">
        <v>740</v>
      </c>
      <c r="D143" s="288">
        <v>370</v>
      </c>
      <c r="E143" s="288">
        <v>247</v>
      </c>
      <c r="F143" s="289">
        <v>208</v>
      </c>
      <c r="G143" s="290">
        <v>166</v>
      </c>
      <c r="H143" s="288">
        <v>104</v>
      </c>
      <c r="I143" s="288">
        <v>70</v>
      </c>
      <c r="J143" s="288">
        <v>0.000324</v>
      </c>
      <c r="K143" s="305">
        <v>0.225</v>
      </c>
      <c r="L143" s="290">
        <v>0.203</v>
      </c>
      <c r="M143">
        <f aca="true" t="shared" si="10" ref="M143:M206">C143*0.2</f>
        <v>148</v>
      </c>
      <c r="N143" s="291">
        <f aca="true" t="shared" si="11" ref="N143:N206">C143*0.25</f>
        <v>185</v>
      </c>
      <c r="O143" s="291">
        <f aca="true" t="shared" si="12" ref="O143:O206">N143/2</f>
        <v>92.5</v>
      </c>
      <c r="P143" s="291">
        <f aca="true" t="shared" si="13" ref="P143:P206">N143/3</f>
        <v>61.666666666666664</v>
      </c>
      <c r="AT143" s="467">
        <v>136</v>
      </c>
      <c r="AU143" s="472"/>
      <c r="AV143" s="493">
        <v>0.75</v>
      </c>
      <c r="AW143" s="494">
        <v>0.125</v>
      </c>
    </row>
    <row r="144" spans="1:49" ht="12.75">
      <c r="A144" s="351" t="s">
        <v>511</v>
      </c>
      <c r="B144" s="357">
        <v>135</v>
      </c>
      <c r="C144" s="362">
        <v>740</v>
      </c>
      <c r="D144" s="363">
        <v>370</v>
      </c>
      <c r="E144" s="363">
        <v>247</v>
      </c>
      <c r="F144" s="364">
        <v>208</v>
      </c>
      <c r="G144" s="362">
        <v>166</v>
      </c>
      <c r="H144" s="362">
        <v>104</v>
      </c>
      <c r="I144" s="363">
        <v>70</v>
      </c>
      <c r="J144" s="363">
        <v>0.000324</v>
      </c>
      <c r="K144" s="365">
        <v>0.225</v>
      </c>
      <c r="L144" s="362">
        <v>0.203</v>
      </c>
      <c r="M144">
        <f t="shared" si="10"/>
        <v>148</v>
      </c>
      <c r="N144" s="291">
        <f t="shared" si="11"/>
        <v>185</v>
      </c>
      <c r="O144" s="291">
        <f t="shared" si="12"/>
        <v>92.5</v>
      </c>
      <c r="P144" s="291">
        <f t="shared" si="13"/>
        <v>61.666666666666664</v>
      </c>
      <c r="AT144" s="467">
        <v>137</v>
      </c>
      <c r="AU144" s="472"/>
      <c r="AV144" s="493">
        <v>0.75</v>
      </c>
      <c r="AW144" s="494">
        <v>0.125</v>
      </c>
    </row>
    <row r="145" spans="1:49" ht="12.75">
      <c r="A145" s="351" t="s">
        <v>511</v>
      </c>
      <c r="B145" s="356">
        <v>136</v>
      </c>
      <c r="C145" s="288">
        <v>770</v>
      </c>
      <c r="D145" s="288">
        <v>385</v>
      </c>
      <c r="E145" s="288">
        <v>257</v>
      </c>
      <c r="F145" s="289">
        <v>208</v>
      </c>
      <c r="G145" s="290">
        <v>166</v>
      </c>
      <c r="H145" s="288">
        <v>104</v>
      </c>
      <c r="I145" s="288">
        <v>70</v>
      </c>
      <c r="J145" s="288">
        <v>0.000312</v>
      </c>
      <c r="K145" s="288">
        <v>0.216</v>
      </c>
      <c r="L145" s="290">
        <v>0.195</v>
      </c>
      <c r="M145">
        <f t="shared" si="10"/>
        <v>154</v>
      </c>
      <c r="N145" s="291">
        <f t="shared" si="11"/>
        <v>192.5</v>
      </c>
      <c r="O145" s="291">
        <f t="shared" si="12"/>
        <v>96.25</v>
      </c>
      <c r="P145" s="291">
        <f t="shared" si="13"/>
        <v>64.16666666666667</v>
      </c>
      <c r="AT145" s="467">
        <v>138</v>
      </c>
      <c r="AU145" s="472"/>
      <c r="AV145" s="493">
        <v>0.75</v>
      </c>
      <c r="AW145" s="494">
        <v>0.125</v>
      </c>
    </row>
    <row r="146" spans="1:49" ht="12.75">
      <c r="A146" s="351" t="s">
        <v>511</v>
      </c>
      <c r="B146" s="356">
        <v>137</v>
      </c>
      <c r="C146" s="288">
        <v>770</v>
      </c>
      <c r="D146" s="288">
        <v>385</v>
      </c>
      <c r="E146" s="288">
        <v>257</v>
      </c>
      <c r="F146" s="289">
        <v>208</v>
      </c>
      <c r="G146" s="290">
        <v>166</v>
      </c>
      <c r="H146" s="288">
        <v>104</v>
      </c>
      <c r="I146" s="288">
        <v>70</v>
      </c>
      <c r="J146" s="288">
        <v>0.000312</v>
      </c>
      <c r="K146" s="288">
        <v>0.216</v>
      </c>
      <c r="L146" s="290">
        <v>0.195</v>
      </c>
      <c r="M146">
        <f t="shared" si="10"/>
        <v>154</v>
      </c>
      <c r="N146" s="291">
        <f t="shared" si="11"/>
        <v>192.5</v>
      </c>
      <c r="O146" s="291">
        <f t="shared" si="12"/>
        <v>96.25</v>
      </c>
      <c r="P146" s="291">
        <f t="shared" si="13"/>
        <v>64.16666666666667</v>
      </c>
      <c r="AT146" s="467">
        <v>139</v>
      </c>
      <c r="AU146" s="472"/>
      <c r="AV146" s="493">
        <v>0.75</v>
      </c>
      <c r="AW146" s="494">
        <v>0.125</v>
      </c>
    </row>
    <row r="147" spans="1:49" ht="12.75">
      <c r="A147" s="351" t="s">
        <v>511</v>
      </c>
      <c r="B147" s="356">
        <v>138</v>
      </c>
      <c r="C147" s="288">
        <v>770</v>
      </c>
      <c r="D147" s="288">
        <v>385</v>
      </c>
      <c r="E147" s="288">
        <v>257</v>
      </c>
      <c r="F147" s="289">
        <v>208</v>
      </c>
      <c r="G147" s="290">
        <v>166</v>
      </c>
      <c r="H147" s="288">
        <v>104</v>
      </c>
      <c r="I147" s="288">
        <v>70</v>
      </c>
      <c r="J147" s="288">
        <v>0.000312</v>
      </c>
      <c r="K147" s="288">
        <v>0.216</v>
      </c>
      <c r="L147" s="290">
        <v>0.195</v>
      </c>
      <c r="M147">
        <f t="shared" si="10"/>
        <v>154</v>
      </c>
      <c r="N147" s="291">
        <f t="shared" si="11"/>
        <v>192.5</v>
      </c>
      <c r="O147" s="291">
        <f t="shared" si="12"/>
        <v>96.25</v>
      </c>
      <c r="P147" s="291">
        <f t="shared" si="13"/>
        <v>64.16666666666667</v>
      </c>
      <c r="AT147" s="468">
        <v>140</v>
      </c>
      <c r="AU147" s="472"/>
      <c r="AV147" s="493">
        <v>0.75</v>
      </c>
      <c r="AW147" s="494">
        <v>0.125</v>
      </c>
    </row>
    <row r="148" spans="1:49" ht="12.75">
      <c r="A148" s="351" t="s">
        <v>511</v>
      </c>
      <c r="B148" s="356">
        <v>139</v>
      </c>
      <c r="C148" s="288">
        <v>770</v>
      </c>
      <c r="D148" s="288">
        <v>385</v>
      </c>
      <c r="E148" s="288">
        <v>257</v>
      </c>
      <c r="F148" s="289">
        <v>208</v>
      </c>
      <c r="G148" s="290">
        <v>166</v>
      </c>
      <c r="H148" s="288">
        <v>104</v>
      </c>
      <c r="I148" s="288">
        <v>70</v>
      </c>
      <c r="J148" s="288">
        <v>0.000312</v>
      </c>
      <c r="K148" s="288">
        <v>0.216</v>
      </c>
      <c r="L148" s="290">
        <v>0.195</v>
      </c>
      <c r="M148">
        <f t="shared" si="10"/>
        <v>154</v>
      </c>
      <c r="N148" s="291">
        <f t="shared" si="11"/>
        <v>192.5</v>
      </c>
      <c r="O148" s="291">
        <f t="shared" si="12"/>
        <v>96.25</v>
      </c>
      <c r="P148" s="291">
        <f t="shared" si="13"/>
        <v>64.16666666666667</v>
      </c>
      <c r="AT148" s="467">
        <v>141</v>
      </c>
      <c r="AU148" s="472"/>
      <c r="AV148" s="493">
        <v>0.75</v>
      </c>
      <c r="AW148" s="494">
        <v>0.125</v>
      </c>
    </row>
    <row r="149" spans="1:49" ht="12.75">
      <c r="A149" s="351" t="s">
        <v>511</v>
      </c>
      <c r="B149" s="357">
        <v>140</v>
      </c>
      <c r="C149" s="362">
        <v>770</v>
      </c>
      <c r="D149" s="363">
        <v>385</v>
      </c>
      <c r="E149" s="363">
        <v>257</v>
      </c>
      <c r="F149" s="364">
        <v>208</v>
      </c>
      <c r="G149" s="362">
        <v>166</v>
      </c>
      <c r="H149" s="363">
        <v>104</v>
      </c>
      <c r="I149" s="363">
        <v>70</v>
      </c>
      <c r="J149" s="363">
        <v>0.000312</v>
      </c>
      <c r="K149" s="363">
        <v>0.216</v>
      </c>
      <c r="L149" s="362">
        <v>0.195</v>
      </c>
      <c r="M149">
        <f t="shared" si="10"/>
        <v>154</v>
      </c>
      <c r="N149" s="291">
        <f t="shared" si="11"/>
        <v>192.5</v>
      </c>
      <c r="O149" s="291">
        <f t="shared" si="12"/>
        <v>96.25</v>
      </c>
      <c r="P149" s="291">
        <f t="shared" si="13"/>
        <v>64.16666666666667</v>
      </c>
      <c r="AT149" s="467">
        <v>142</v>
      </c>
      <c r="AU149" s="472"/>
      <c r="AV149" s="493">
        <v>0.75</v>
      </c>
      <c r="AW149" s="494">
        <v>0.125</v>
      </c>
    </row>
    <row r="150" spans="1:49" ht="12.75">
      <c r="A150" s="351" t="s">
        <v>511</v>
      </c>
      <c r="B150" s="356">
        <v>141</v>
      </c>
      <c r="C150" s="288">
        <v>800</v>
      </c>
      <c r="D150" s="288">
        <v>400</v>
      </c>
      <c r="E150" s="288">
        <v>267</v>
      </c>
      <c r="F150" s="289">
        <v>208</v>
      </c>
      <c r="G150" s="290">
        <v>166</v>
      </c>
      <c r="H150" s="288">
        <v>104</v>
      </c>
      <c r="I150" s="288">
        <v>70</v>
      </c>
      <c r="J150" s="288">
        <v>0.0003</v>
      </c>
      <c r="K150" s="288">
        <v>0.208</v>
      </c>
      <c r="L150" s="290">
        <v>0.188</v>
      </c>
      <c r="M150">
        <f t="shared" si="10"/>
        <v>160</v>
      </c>
      <c r="N150" s="291">
        <f t="shared" si="11"/>
        <v>200</v>
      </c>
      <c r="O150" s="291">
        <f t="shared" si="12"/>
        <v>100</v>
      </c>
      <c r="P150" s="291">
        <f t="shared" si="13"/>
        <v>66.66666666666667</v>
      </c>
      <c r="AT150" s="467">
        <v>143</v>
      </c>
      <c r="AU150" s="472"/>
      <c r="AV150" s="493">
        <v>0.75</v>
      </c>
      <c r="AW150" s="494">
        <v>0.125</v>
      </c>
    </row>
    <row r="151" spans="1:49" ht="12.75">
      <c r="A151" s="351" t="s">
        <v>511</v>
      </c>
      <c r="B151" s="356">
        <v>142</v>
      </c>
      <c r="C151" s="288">
        <v>800</v>
      </c>
      <c r="D151" s="288">
        <v>400</v>
      </c>
      <c r="E151" s="288">
        <v>267</v>
      </c>
      <c r="F151" s="289">
        <v>208</v>
      </c>
      <c r="G151" s="290">
        <v>166</v>
      </c>
      <c r="H151" s="288">
        <v>104</v>
      </c>
      <c r="I151" s="288">
        <v>70</v>
      </c>
      <c r="J151" s="288">
        <v>0.0003</v>
      </c>
      <c r="K151" s="288">
        <v>0.208</v>
      </c>
      <c r="L151" s="290">
        <v>0.188</v>
      </c>
      <c r="M151">
        <f t="shared" si="10"/>
        <v>160</v>
      </c>
      <c r="N151" s="291">
        <f t="shared" si="11"/>
        <v>200</v>
      </c>
      <c r="O151" s="291">
        <f t="shared" si="12"/>
        <v>100</v>
      </c>
      <c r="P151" s="291">
        <f t="shared" si="13"/>
        <v>66.66666666666667</v>
      </c>
      <c r="AT151" s="467">
        <v>144</v>
      </c>
      <c r="AU151" s="472"/>
      <c r="AV151" s="493">
        <v>0.75</v>
      </c>
      <c r="AW151" s="494">
        <v>0.125</v>
      </c>
    </row>
    <row r="152" spans="1:49" ht="12.75">
      <c r="A152" s="351" t="s">
        <v>511</v>
      </c>
      <c r="B152" s="356">
        <v>143</v>
      </c>
      <c r="C152" s="288">
        <v>800</v>
      </c>
      <c r="D152" s="288">
        <v>400</v>
      </c>
      <c r="E152" s="288">
        <v>267</v>
      </c>
      <c r="F152" s="289">
        <v>208</v>
      </c>
      <c r="G152" s="290">
        <v>166</v>
      </c>
      <c r="H152" s="288">
        <v>104</v>
      </c>
      <c r="I152" s="288">
        <v>70</v>
      </c>
      <c r="J152" s="288">
        <v>0.0003</v>
      </c>
      <c r="K152" s="288">
        <v>0.208</v>
      </c>
      <c r="L152" s="290">
        <v>0.188</v>
      </c>
      <c r="M152">
        <f t="shared" si="10"/>
        <v>160</v>
      </c>
      <c r="N152" s="291">
        <f t="shared" si="11"/>
        <v>200</v>
      </c>
      <c r="O152" s="291">
        <f t="shared" si="12"/>
        <v>100</v>
      </c>
      <c r="P152" s="291">
        <f t="shared" si="13"/>
        <v>66.66666666666667</v>
      </c>
      <c r="AT152" s="468">
        <v>145</v>
      </c>
      <c r="AU152" s="472"/>
      <c r="AV152" s="493">
        <v>0.75</v>
      </c>
      <c r="AW152" s="494">
        <v>0.125</v>
      </c>
    </row>
    <row r="153" spans="1:49" ht="12.75">
      <c r="A153" s="351" t="s">
        <v>511</v>
      </c>
      <c r="B153" s="356">
        <v>144</v>
      </c>
      <c r="C153" s="288">
        <v>800</v>
      </c>
      <c r="D153" s="288">
        <v>400</v>
      </c>
      <c r="E153" s="288">
        <v>267</v>
      </c>
      <c r="F153" s="289">
        <v>208</v>
      </c>
      <c r="G153" s="290">
        <v>166</v>
      </c>
      <c r="H153" s="288">
        <v>104</v>
      </c>
      <c r="I153" s="288">
        <v>70</v>
      </c>
      <c r="J153" s="288">
        <v>0.0003</v>
      </c>
      <c r="K153" s="288">
        <v>0.208</v>
      </c>
      <c r="L153" s="290">
        <v>0.188</v>
      </c>
      <c r="M153">
        <f t="shared" si="10"/>
        <v>160</v>
      </c>
      <c r="N153" s="291">
        <f t="shared" si="11"/>
        <v>200</v>
      </c>
      <c r="O153" s="291">
        <f t="shared" si="12"/>
        <v>100</v>
      </c>
      <c r="P153" s="291">
        <f t="shared" si="13"/>
        <v>66.66666666666667</v>
      </c>
      <c r="AT153" s="467">
        <v>146</v>
      </c>
      <c r="AU153" s="472"/>
      <c r="AV153" s="493">
        <v>0.75</v>
      </c>
      <c r="AW153" s="494">
        <v>0.125</v>
      </c>
    </row>
    <row r="154" spans="1:49" ht="12.75" customHeight="1">
      <c r="A154" s="351" t="s">
        <v>511</v>
      </c>
      <c r="B154" s="357">
        <v>145</v>
      </c>
      <c r="C154" s="362">
        <v>800</v>
      </c>
      <c r="D154" s="363">
        <v>400</v>
      </c>
      <c r="E154" s="363">
        <v>267</v>
      </c>
      <c r="F154" s="364">
        <v>208</v>
      </c>
      <c r="G154" s="362">
        <v>166</v>
      </c>
      <c r="H154" s="363">
        <v>104</v>
      </c>
      <c r="I154" s="363">
        <v>70</v>
      </c>
      <c r="J154" s="363">
        <v>0.0003</v>
      </c>
      <c r="K154" s="363">
        <v>0.208</v>
      </c>
      <c r="L154" s="362">
        <v>0.188</v>
      </c>
      <c r="M154">
        <f t="shared" si="10"/>
        <v>160</v>
      </c>
      <c r="N154" s="291">
        <f t="shared" si="11"/>
        <v>200</v>
      </c>
      <c r="O154" s="291">
        <f t="shared" si="12"/>
        <v>100</v>
      </c>
      <c r="P154" s="291">
        <f t="shared" si="13"/>
        <v>66.66666666666667</v>
      </c>
      <c r="AT154" s="467">
        <v>147</v>
      </c>
      <c r="AU154" s="472"/>
      <c r="AV154" s="493">
        <v>0.75</v>
      </c>
      <c r="AW154" s="494">
        <v>0.125</v>
      </c>
    </row>
    <row r="155" spans="1:49" ht="12.75" customHeight="1">
      <c r="A155" s="351" t="s">
        <v>511</v>
      </c>
      <c r="B155" s="356">
        <v>146</v>
      </c>
      <c r="C155" s="288">
        <v>830</v>
      </c>
      <c r="D155" s="288">
        <v>415</v>
      </c>
      <c r="E155" s="288">
        <v>277</v>
      </c>
      <c r="F155" s="289">
        <v>208</v>
      </c>
      <c r="G155" s="290">
        <v>166</v>
      </c>
      <c r="H155" s="288">
        <v>104</v>
      </c>
      <c r="I155" s="288">
        <v>70</v>
      </c>
      <c r="J155" s="288">
        <v>0.000289</v>
      </c>
      <c r="K155" s="288">
        <v>0.201</v>
      </c>
      <c r="L155" s="290">
        <v>0.181</v>
      </c>
      <c r="M155">
        <f t="shared" si="10"/>
        <v>166</v>
      </c>
      <c r="N155" s="291">
        <f t="shared" si="11"/>
        <v>207.5</v>
      </c>
      <c r="O155" s="291">
        <f t="shared" si="12"/>
        <v>103.75</v>
      </c>
      <c r="P155" s="291">
        <f t="shared" si="13"/>
        <v>69.16666666666667</v>
      </c>
      <c r="AT155" s="467">
        <v>148</v>
      </c>
      <c r="AU155" s="472"/>
      <c r="AV155" s="493">
        <v>0.75</v>
      </c>
      <c r="AW155" s="494">
        <v>0.125</v>
      </c>
    </row>
    <row r="156" spans="1:49" ht="12.75" customHeight="1">
      <c r="A156" s="351" t="s">
        <v>511</v>
      </c>
      <c r="B156" s="356">
        <v>147</v>
      </c>
      <c r="C156" s="288">
        <v>830</v>
      </c>
      <c r="D156" s="288">
        <v>415</v>
      </c>
      <c r="E156" s="288">
        <v>277</v>
      </c>
      <c r="F156" s="289">
        <v>208</v>
      </c>
      <c r="G156" s="290">
        <v>166</v>
      </c>
      <c r="H156" s="288">
        <v>104</v>
      </c>
      <c r="I156" s="288">
        <v>70</v>
      </c>
      <c r="J156" s="288">
        <v>0.000289</v>
      </c>
      <c r="K156" s="288">
        <v>0.201</v>
      </c>
      <c r="L156" s="290">
        <v>0.181</v>
      </c>
      <c r="M156">
        <f t="shared" si="10"/>
        <v>166</v>
      </c>
      <c r="N156" s="291">
        <f t="shared" si="11"/>
        <v>207.5</v>
      </c>
      <c r="O156" s="291">
        <f t="shared" si="12"/>
        <v>103.75</v>
      </c>
      <c r="P156" s="291">
        <f t="shared" si="13"/>
        <v>69.16666666666667</v>
      </c>
      <c r="AT156" s="467">
        <v>149</v>
      </c>
      <c r="AU156" s="472"/>
      <c r="AV156" s="493">
        <v>0.75</v>
      </c>
      <c r="AW156" s="494">
        <v>0.125</v>
      </c>
    </row>
    <row r="157" spans="1:49" ht="12.75" customHeight="1">
      <c r="A157" s="351" t="s">
        <v>511</v>
      </c>
      <c r="B157" s="356">
        <v>148</v>
      </c>
      <c r="C157" s="288">
        <v>830</v>
      </c>
      <c r="D157" s="288">
        <v>415</v>
      </c>
      <c r="E157" s="288">
        <v>277</v>
      </c>
      <c r="F157" s="289">
        <v>208</v>
      </c>
      <c r="G157" s="290">
        <v>166</v>
      </c>
      <c r="H157" s="288">
        <v>104</v>
      </c>
      <c r="I157" s="288">
        <v>70</v>
      </c>
      <c r="J157" s="288">
        <v>0.000289</v>
      </c>
      <c r="K157" s="288">
        <v>0.201</v>
      </c>
      <c r="L157" s="290">
        <v>0.181</v>
      </c>
      <c r="M157">
        <f t="shared" si="10"/>
        <v>166</v>
      </c>
      <c r="N157" s="291">
        <f t="shared" si="11"/>
        <v>207.5</v>
      </c>
      <c r="O157" s="291">
        <f t="shared" si="12"/>
        <v>103.75</v>
      </c>
      <c r="P157" s="291">
        <f t="shared" si="13"/>
        <v>69.16666666666667</v>
      </c>
      <c r="AT157" s="468">
        <v>150</v>
      </c>
      <c r="AU157" s="485"/>
      <c r="AV157" s="495">
        <v>0.75</v>
      </c>
      <c r="AW157" s="496">
        <v>0.125</v>
      </c>
    </row>
    <row r="158" spans="1:49" ht="12.75" customHeight="1">
      <c r="A158" s="351" t="s">
        <v>511</v>
      </c>
      <c r="B158" s="356">
        <v>149</v>
      </c>
      <c r="C158" s="288">
        <v>830</v>
      </c>
      <c r="D158" s="288">
        <v>415</v>
      </c>
      <c r="E158" s="288">
        <v>277</v>
      </c>
      <c r="F158" s="289">
        <v>208</v>
      </c>
      <c r="G158" s="290">
        <v>166</v>
      </c>
      <c r="H158" s="288">
        <v>104</v>
      </c>
      <c r="I158" s="288">
        <v>70</v>
      </c>
      <c r="J158" s="288">
        <v>0.000289</v>
      </c>
      <c r="K158" s="288">
        <v>0.201</v>
      </c>
      <c r="L158" s="290">
        <v>0.181</v>
      </c>
      <c r="M158">
        <f t="shared" si="10"/>
        <v>166</v>
      </c>
      <c r="N158" s="291">
        <f t="shared" si="11"/>
        <v>207.5</v>
      </c>
      <c r="O158" s="291">
        <f t="shared" si="12"/>
        <v>103.75</v>
      </c>
      <c r="P158" s="291">
        <f t="shared" si="13"/>
        <v>69.16666666666667</v>
      </c>
      <c r="AT158" s="465">
        <v>151</v>
      </c>
      <c r="AU158" s="472"/>
      <c r="AV158" s="493">
        <v>0.75</v>
      </c>
      <c r="AW158" s="479">
        <v>0.1</v>
      </c>
    </row>
    <row r="159" spans="1:49" ht="12.75">
      <c r="A159" s="351" t="s">
        <v>511</v>
      </c>
      <c r="B159" s="357">
        <v>150</v>
      </c>
      <c r="C159" s="362">
        <v>830</v>
      </c>
      <c r="D159" s="363">
        <v>415</v>
      </c>
      <c r="E159" s="363">
        <v>277</v>
      </c>
      <c r="F159" s="364">
        <v>208</v>
      </c>
      <c r="G159" s="362">
        <v>166</v>
      </c>
      <c r="H159" s="363">
        <v>104</v>
      </c>
      <c r="I159" s="363">
        <v>70</v>
      </c>
      <c r="J159" s="363">
        <v>0.000289</v>
      </c>
      <c r="K159" s="363">
        <v>0.201</v>
      </c>
      <c r="L159" s="362">
        <v>0.181</v>
      </c>
      <c r="M159">
        <f t="shared" si="10"/>
        <v>166</v>
      </c>
      <c r="N159" s="291">
        <f t="shared" si="11"/>
        <v>207.5</v>
      </c>
      <c r="O159" s="291">
        <f t="shared" si="12"/>
        <v>103.75</v>
      </c>
      <c r="P159" s="291">
        <f t="shared" si="13"/>
        <v>69.16666666666667</v>
      </c>
      <c r="AT159" s="465">
        <v>152</v>
      </c>
      <c r="AU159" s="472"/>
      <c r="AV159" s="493">
        <v>0.75</v>
      </c>
      <c r="AW159" s="479">
        <v>0.1</v>
      </c>
    </row>
    <row r="160" spans="1:49" ht="12.75">
      <c r="A160" s="351" t="s">
        <v>511</v>
      </c>
      <c r="B160" s="324">
        <v>151</v>
      </c>
      <c r="C160" s="237">
        <v>860</v>
      </c>
      <c r="D160" s="237">
        <v>430</v>
      </c>
      <c r="E160" s="237">
        <v>287</v>
      </c>
      <c r="F160" s="295">
        <v>253</v>
      </c>
      <c r="G160" s="236">
        <v>202</v>
      </c>
      <c r="H160" s="237">
        <v>127</v>
      </c>
      <c r="I160" s="237">
        <v>84</v>
      </c>
      <c r="J160" s="237">
        <v>0.000279</v>
      </c>
      <c r="K160" s="237">
        <v>0.194</v>
      </c>
      <c r="L160" s="236">
        <v>0.174</v>
      </c>
      <c r="M160">
        <f t="shared" si="10"/>
        <v>172</v>
      </c>
      <c r="N160" s="291">
        <f t="shared" si="11"/>
        <v>215</v>
      </c>
      <c r="O160" s="291">
        <f t="shared" si="12"/>
        <v>107.5</v>
      </c>
      <c r="P160" s="291">
        <f t="shared" si="13"/>
        <v>71.66666666666667</v>
      </c>
      <c r="AT160" s="465">
        <v>153</v>
      </c>
      <c r="AU160" s="472"/>
      <c r="AV160" s="493">
        <v>0.75</v>
      </c>
      <c r="AW160" s="479">
        <v>0.1</v>
      </c>
    </row>
    <row r="161" spans="1:49" ht="12.75">
      <c r="A161" s="351" t="s">
        <v>511</v>
      </c>
      <c r="B161" s="324">
        <v>152</v>
      </c>
      <c r="C161" s="237">
        <v>860</v>
      </c>
      <c r="D161" s="237">
        <v>430</v>
      </c>
      <c r="E161" s="237">
        <v>287</v>
      </c>
      <c r="F161" s="295">
        <v>253</v>
      </c>
      <c r="G161" s="236">
        <v>202</v>
      </c>
      <c r="H161" s="237">
        <v>127</v>
      </c>
      <c r="I161" s="237">
        <v>84</v>
      </c>
      <c r="J161" s="237">
        <v>0.000279</v>
      </c>
      <c r="K161" s="237">
        <v>0.194</v>
      </c>
      <c r="L161" s="236">
        <v>0.174</v>
      </c>
      <c r="M161">
        <f t="shared" si="10"/>
        <v>172</v>
      </c>
      <c r="N161" s="291">
        <f t="shared" si="11"/>
        <v>215</v>
      </c>
      <c r="O161" s="291">
        <f t="shared" si="12"/>
        <v>107.5</v>
      </c>
      <c r="P161" s="291">
        <f t="shared" si="13"/>
        <v>71.66666666666667</v>
      </c>
      <c r="AT161" s="465">
        <v>154</v>
      </c>
      <c r="AU161" s="472"/>
      <c r="AV161" s="493">
        <v>0.75</v>
      </c>
      <c r="AW161" s="479">
        <v>0.1</v>
      </c>
    </row>
    <row r="162" spans="1:49" ht="12.75">
      <c r="A162" s="351" t="s">
        <v>511</v>
      </c>
      <c r="B162" s="324">
        <v>153</v>
      </c>
      <c r="C162" s="237">
        <v>860</v>
      </c>
      <c r="D162" s="237">
        <v>430</v>
      </c>
      <c r="E162" s="237">
        <v>287</v>
      </c>
      <c r="F162" s="295">
        <v>253</v>
      </c>
      <c r="G162" s="236">
        <v>202</v>
      </c>
      <c r="H162" s="237">
        <v>127</v>
      </c>
      <c r="I162" s="237">
        <v>84</v>
      </c>
      <c r="J162" s="237">
        <v>0.000279</v>
      </c>
      <c r="K162" s="237">
        <v>0.194</v>
      </c>
      <c r="L162" s="236">
        <v>0.174</v>
      </c>
      <c r="M162">
        <f t="shared" si="10"/>
        <v>172</v>
      </c>
      <c r="N162" s="291">
        <f t="shared" si="11"/>
        <v>215</v>
      </c>
      <c r="O162" s="291">
        <f t="shared" si="12"/>
        <v>107.5</v>
      </c>
      <c r="P162" s="291">
        <f t="shared" si="13"/>
        <v>71.66666666666667</v>
      </c>
      <c r="AT162" s="469">
        <v>155</v>
      </c>
      <c r="AU162" s="472"/>
      <c r="AV162" s="493">
        <v>0.75</v>
      </c>
      <c r="AW162" s="479">
        <v>0.1</v>
      </c>
    </row>
    <row r="163" spans="1:49" ht="12.75">
      <c r="A163" s="351" t="s">
        <v>511</v>
      </c>
      <c r="B163" s="324">
        <v>154</v>
      </c>
      <c r="C163" s="237">
        <v>860</v>
      </c>
      <c r="D163" s="237">
        <v>430</v>
      </c>
      <c r="E163" s="237">
        <v>287</v>
      </c>
      <c r="F163" s="295">
        <v>253</v>
      </c>
      <c r="G163" s="236">
        <v>202</v>
      </c>
      <c r="H163" s="237">
        <v>127</v>
      </c>
      <c r="I163" s="237">
        <v>84</v>
      </c>
      <c r="J163" s="237">
        <v>0.000279</v>
      </c>
      <c r="K163" s="237">
        <v>0.194</v>
      </c>
      <c r="L163" s="236">
        <v>0.174</v>
      </c>
      <c r="M163">
        <f t="shared" si="10"/>
        <v>172</v>
      </c>
      <c r="N163" s="291">
        <f t="shared" si="11"/>
        <v>215</v>
      </c>
      <c r="O163" s="291">
        <f t="shared" si="12"/>
        <v>107.5</v>
      </c>
      <c r="P163" s="291">
        <f t="shared" si="13"/>
        <v>71.66666666666667</v>
      </c>
      <c r="AT163" s="465">
        <v>156</v>
      </c>
      <c r="AU163" s="472"/>
      <c r="AV163" s="493">
        <v>0.75</v>
      </c>
      <c r="AW163" s="479">
        <v>0.1</v>
      </c>
    </row>
    <row r="164" spans="1:49" ht="12.75">
      <c r="A164" s="351" t="s">
        <v>511</v>
      </c>
      <c r="B164" s="366">
        <v>155</v>
      </c>
      <c r="C164" s="329">
        <v>860</v>
      </c>
      <c r="D164" s="343">
        <v>430</v>
      </c>
      <c r="E164" s="343">
        <v>287</v>
      </c>
      <c r="F164" s="328">
        <v>253</v>
      </c>
      <c r="G164" s="329">
        <v>202</v>
      </c>
      <c r="H164" s="343">
        <v>127</v>
      </c>
      <c r="I164" s="343">
        <v>84</v>
      </c>
      <c r="J164" s="343">
        <v>0.000279</v>
      </c>
      <c r="K164" s="343">
        <v>0.194</v>
      </c>
      <c r="L164" s="329">
        <v>0.174</v>
      </c>
      <c r="M164">
        <f t="shared" si="10"/>
        <v>172</v>
      </c>
      <c r="N164" s="291">
        <f t="shared" si="11"/>
        <v>215</v>
      </c>
      <c r="O164" s="291">
        <f t="shared" si="12"/>
        <v>107.5</v>
      </c>
      <c r="P164" s="291">
        <f t="shared" si="13"/>
        <v>71.66666666666667</v>
      </c>
      <c r="AT164" s="465">
        <v>157</v>
      </c>
      <c r="AU164" s="472"/>
      <c r="AV164" s="493">
        <v>0.75</v>
      </c>
      <c r="AW164" s="479">
        <v>0.1</v>
      </c>
    </row>
    <row r="165" spans="1:49" ht="12.75">
      <c r="A165" s="351" t="s">
        <v>511</v>
      </c>
      <c r="B165" s="324">
        <v>156</v>
      </c>
      <c r="C165" s="237">
        <v>890</v>
      </c>
      <c r="D165" s="237">
        <v>445</v>
      </c>
      <c r="E165" s="237">
        <v>297</v>
      </c>
      <c r="F165" s="295">
        <v>253</v>
      </c>
      <c r="G165" s="236">
        <v>202</v>
      </c>
      <c r="H165" s="237">
        <v>127</v>
      </c>
      <c r="I165" s="237">
        <v>84</v>
      </c>
      <c r="J165" s="237">
        <v>0.00027</v>
      </c>
      <c r="K165" s="237">
        <v>0.187</v>
      </c>
      <c r="L165" s="236">
        <v>0.169</v>
      </c>
      <c r="M165">
        <f t="shared" si="10"/>
        <v>178</v>
      </c>
      <c r="N165" s="291">
        <f t="shared" si="11"/>
        <v>222.5</v>
      </c>
      <c r="O165" s="291">
        <f t="shared" si="12"/>
        <v>111.25</v>
      </c>
      <c r="P165" s="291">
        <f t="shared" si="13"/>
        <v>74.16666666666667</v>
      </c>
      <c r="AT165" s="465">
        <v>158</v>
      </c>
      <c r="AU165" s="472"/>
      <c r="AV165" s="493">
        <v>0.75</v>
      </c>
      <c r="AW165" s="479">
        <v>0.1</v>
      </c>
    </row>
    <row r="166" spans="1:49" ht="12.75">
      <c r="A166" s="351" t="s">
        <v>511</v>
      </c>
      <c r="B166" s="324">
        <v>157</v>
      </c>
      <c r="C166" s="237">
        <v>890</v>
      </c>
      <c r="D166" s="237">
        <v>445</v>
      </c>
      <c r="E166" s="237">
        <v>297</v>
      </c>
      <c r="F166" s="295">
        <v>253</v>
      </c>
      <c r="G166" s="236">
        <v>202</v>
      </c>
      <c r="H166" s="237">
        <v>127</v>
      </c>
      <c r="I166" s="237">
        <v>84</v>
      </c>
      <c r="J166" s="237">
        <v>0.00027</v>
      </c>
      <c r="K166" s="237">
        <v>0.187</v>
      </c>
      <c r="L166" s="236">
        <v>0.169</v>
      </c>
      <c r="M166">
        <f t="shared" si="10"/>
        <v>178</v>
      </c>
      <c r="N166" s="291">
        <f t="shared" si="11"/>
        <v>222.5</v>
      </c>
      <c r="O166" s="291">
        <f t="shared" si="12"/>
        <v>111.25</v>
      </c>
      <c r="P166" s="291">
        <f t="shared" si="13"/>
        <v>74.16666666666667</v>
      </c>
      <c r="AT166" s="465">
        <v>159</v>
      </c>
      <c r="AU166" s="472"/>
      <c r="AV166" s="493">
        <v>0.75</v>
      </c>
      <c r="AW166" s="479">
        <v>0.1</v>
      </c>
    </row>
    <row r="167" spans="1:49" ht="12.75">
      <c r="A167" s="351" t="s">
        <v>511</v>
      </c>
      <c r="B167" s="324">
        <v>158</v>
      </c>
      <c r="C167" s="237">
        <v>890</v>
      </c>
      <c r="D167" s="237">
        <v>445</v>
      </c>
      <c r="E167" s="237">
        <v>297</v>
      </c>
      <c r="F167" s="295">
        <v>253</v>
      </c>
      <c r="G167" s="236">
        <v>202</v>
      </c>
      <c r="H167" s="237">
        <v>127</v>
      </c>
      <c r="I167" s="237">
        <v>84</v>
      </c>
      <c r="J167" s="237">
        <v>0.00027</v>
      </c>
      <c r="K167" s="237">
        <v>0.187</v>
      </c>
      <c r="L167" s="236">
        <v>0.169</v>
      </c>
      <c r="M167">
        <f t="shared" si="10"/>
        <v>178</v>
      </c>
      <c r="N167" s="291">
        <f t="shared" si="11"/>
        <v>222.5</v>
      </c>
      <c r="O167" s="291">
        <f t="shared" si="12"/>
        <v>111.25</v>
      </c>
      <c r="P167" s="291">
        <f t="shared" si="13"/>
        <v>74.16666666666667</v>
      </c>
      <c r="AT167" s="466">
        <v>160</v>
      </c>
      <c r="AU167" s="472"/>
      <c r="AV167" s="493">
        <v>0.75</v>
      </c>
      <c r="AW167" s="479">
        <v>0.1</v>
      </c>
    </row>
    <row r="168" spans="1:49" ht="12.75">
      <c r="A168" s="351" t="s">
        <v>511</v>
      </c>
      <c r="B168" s="324">
        <v>159</v>
      </c>
      <c r="C168" s="237">
        <v>890</v>
      </c>
      <c r="D168" s="237">
        <v>445</v>
      </c>
      <c r="E168" s="237">
        <v>297</v>
      </c>
      <c r="F168" s="295">
        <v>253</v>
      </c>
      <c r="G168" s="236">
        <v>202</v>
      </c>
      <c r="H168" s="237">
        <v>127</v>
      </c>
      <c r="I168" s="237">
        <v>84</v>
      </c>
      <c r="J168" s="237">
        <v>0.00027</v>
      </c>
      <c r="K168" s="237">
        <v>0.187</v>
      </c>
      <c r="L168" s="236">
        <v>0.169</v>
      </c>
      <c r="M168">
        <f t="shared" si="10"/>
        <v>178</v>
      </c>
      <c r="N168" s="291">
        <f t="shared" si="11"/>
        <v>222.5</v>
      </c>
      <c r="O168" s="291">
        <f t="shared" si="12"/>
        <v>111.25</v>
      </c>
      <c r="P168" s="291">
        <f t="shared" si="13"/>
        <v>74.16666666666667</v>
      </c>
      <c r="AT168" s="465">
        <v>161</v>
      </c>
      <c r="AU168" s="472"/>
      <c r="AV168" s="493">
        <v>0.75</v>
      </c>
      <c r="AW168" s="479">
        <v>0.1</v>
      </c>
    </row>
    <row r="169" spans="1:49" ht="12.75">
      <c r="A169" s="351" t="s">
        <v>511</v>
      </c>
      <c r="B169" s="326">
        <v>160</v>
      </c>
      <c r="C169" s="329">
        <v>890</v>
      </c>
      <c r="D169" s="343">
        <v>445</v>
      </c>
      <c r="E169" s="343">
        <v>297</v>
      </c>
      <c r="F169" s="328">
        <v>253</v>
      </c>
      <c r="G169" s="329">
        <v>202</v>
      </c>
      <c r="H169" s="343">
        <v>127</v>
      </c>
      <c r="I169" s="343">
        <v>84</v>
      </c>
      <c r="J169" s="343">
        <v>0.00027</v>
      </c>
      <c r="K169" s="343">
        <v>0.187</v>
      </c>
      <c r="L169" s="329">
        <v>0.169</v>
      </c>
      <c r="M169">
        <f t="shared" si="10"/>
        <v>178</v>
      </c>
      <c r="N169" s="291">
        <f t="shared" si="11"/>
        <v>222.5</v>
      </c>
      <c r="O169" s="291">
        <f t="shared" si="12"/>
        <v>111.25</v>
      </c>
      <c r="P169" s="291">
        <f t="shared" si="13"/>
        <v>74.16666666666667</v>
      </c>
      <c r="AT169" s="465">
        <v>162</v>
      </c>
      <c r="AU169" s="472"/>
      <c r="AV169" s="493">
        <v>0.75</v>
      </c>
      <c r="AW169" s="479">
        <v>0.1</v>
      </c>
    </row>
    <row r="170" spans="1:49" ht="12.75">
      <c r="A170" s="351" t="s">
        <v>511</v>
      </c>
      <c r="B170" s="324">
        <v>161</v>
      </c>
      <c r="C170" s="237">
        <v>920</v>
      </c>
      <c r="D170" s="237">
        <v>460</v>
      </c>
      <c r="E170" s="237">
        <v>307</v>
      </c>
      <c r="F170" s="295">
        <v>253</v>
      </c>
      <c r="G170" s="236">
        <v>202</v>
      </c>
      <c r="H170" s="237">
        <v>127</v>
      </c>
      <c r="I170" s="237">
        <v>84</v>
      </c>
      <c r="J170" s="237">
        <v>0.000261</v>
      </c>
      <c r="K170" s="237">
        <v>0.181</v>
      </c>
      <c r="L170" s="236">
        <v>0.163</v>
      </c>
      <c r="M170">
        <f t="shared" si="10"/>
        <v>184</v>
      </c>
      <c r="N170" s="291">
        <f t="shared" si="11"/>
        <v>230</v>
      </c>
      <c r="O170" s="291">
        <f t="shared" si="12"/>
        <v>115</v>
      </c>
      <c r="P170" s="291">
        <f t="shared" si="13"/>
        <v>76.66666666666667</v>
      </c>
      <c r="AT170" s="465">
        <v>163</v>
      </c>
      <c r="AU170" s="472"/>
      <c r="AV170" s="493">
        <v>0.75</v>
      </c>
      <c r="AW170" s="479">
        <v>0.1</v>
      </c>
    </row>
    <row r="171" spans="1:49" ht="12.75">
      <c r="A171" s="351" t="s">
        <v>511</v>
      </c>
      <c r="B171" s="324">
        <v>162</v>
      </c>
      <c r="C171" s="237">
        <v>920</v>
      </c>
      <c r="D171" s="237">
        <v>460</v>
      </c>
      <c r="E171" s="237">
        <v>307</v>
      </c>
      <c r="F171" s="295">
        <v>253</v>
      </c>
      <c r="G171" s="236">
        <v>202</v>
      </c>
      <c r="H171" s="237">
        <v>127</v>
      </c>
      <c r="I171" s="237">
        <v>84</v>
      </c>
      <c r="J171" s="237">
        <v>0.000261</v>
      </c>
      <c r="K171" s="237">
        <v>0.181</v>
      </c>
      <c r="L171" s="236">
        <v>0.163</v>
      </c>
      <c r="M171">
        <f t="shared" si="10"/>
        <v>184</v>
      </c>
      <c r="N171" s="291">
        <f t="shared" si="11"/>
        <v>230</v>
      </c>
      <c r="O171" s="291">
        <f t="shared" si="12"/>
        <v>115</v>
      </c>
      <c r="P171" s="291">
        <f t="shared" si="13"/>
        <v>76.66666666666667</v>
      </c>
      <c r="AT171" s="465">
        <v>164</v>
      </c>
      <c r="AU171" s="472"/>
      <c r="AV171" s="493">
        <v>0.75</v>
      </c>
      <c r="AW171" s="479">
        <v>0.1</v>
      </c>
    </row>
    <row r="172" spans="1:49" ht="12.75">
      <c r="A172" s="351" t="s">
        <v>511</v>
      </c>
      <c r="B172" s="324">
        <v>163</v>
      </c>
      <c r="C172" s="237">
        <v>920</v>
      </c>
      <c r="D172" s="237">
        <v>460</v>
      </c>
      <c r="E172" s="237">
        <v>307</v>
      </c>
      <c r="F172" s="295">
        <v>253</v>
      </c>
      <c r="G172" s="236">
        <v>202</v>
      </c>
      <c r="H172" s="237">
        <v>127</v>
      </c>
      <c r="I172" s="237">
        <v>84</v>
      </c>
      <c r="J172" s="237">
        <v>0.000261</v>
      </c>
      <c r="K172" s="237">
        <v>0.181</v>
      </c>
      <c r="L172" s="236">
        <v>0.163</v>
      </c>
      <c r="M172">
        <f t="shared" si="10"/>
        <v>184</v>
      </c>
      <c r="N172" s="291">
        <f t="shared" si="11"/>
        <v>230</v>
      </c>
      <c r="O172" s="291">
        <f t="shared" si="12"/>
        <v>115</v>
      </c>
      <c r="P172" s="291">
        <f t="shared" si="13"/>
        <v>76.66666666666667</v>
      </c>
      <c r="AT172" s="466">
        <v>165</v>
      </c>
      <c r="AU172" s="472"/>
      <c r="AV172" s="493">
        <v>0.75</v>
      </c>
      <c r="AW172" s="479">
        <v>0.1</v>
      </c>
    </row>
    <row r="173" spans="1:49" ht="12.75">
      <c r="A173" s="351" t="s">
        <v>511</v>
      </c>
      <c r="B173" s="324">
        <v>164</v>
      </c>
      <c r="C173" s="237">
        <v>920</v>
      </c>
      <c r="D173" s="237">
        <v>460</v>
      </c>
      <c r="E173" s="237">
        <v>307</v>
      </c>
      <c r="F173" s="295">
        <v>253</v>
      </c>
      <c r="G173" s="236">
        <v>202</v>
      </c>
      <c r="H173" s="237">
        <v>127</v>
      </c>
      <c r="I173" s="237">
        <v>84</v>
      </c>
      <c r="J173" s="237">
        <v>0.000261</v>
      </c>
      <c r="K173" s="237">
        <v>0.181</v>
      </c>
      <c r="L173" s="236">
        <v>0.163</v>
      </c>
      <c r="M173">
        <f t="shared" si="10"/>
        <v>184</v>
      </c>
      <c r="N173" s="291">
        <f t="shared" si="11"/>
        <v>230</v>
      </c>
      <c r="O173" s="291">
        <f t="shared" si="12"/>
        <v>115</v>
      </c>
      <c r="P173" s="291">
        <f t="shared" si="13"/>
        <v>76.66666666666667</v>
      </c>
      <c r="AT173" s="465">
        <v>166</v>
      </c>
      <c r="AU173" s="472"/>
      <c r="AV173" s="493">
        <v>0.75</v>
      </c>
      <c r="AW173" s="479">
        <v>0.1</v>
      </c>
    </row>
    <row r="174" spans="1:49" ht="12.75">
      <c r="A174" s="351" t="s">
        <v>511</v>
      </c>
      <c r="B174" s="326">
        <v>165</v>
      </c>
      <c r="C174" s="329">
        <v>920</v>
      </c>
      <c r="D174" s="343">
        <v>460</v>
      </c>
      <c r="E174" s="343">
        <v>307</v>
      </c>
      <c r="F174" s="328">
        <v>253</v>
      </c>
      <c r="G174" s="329">
        <v>202</v>
      </c>
      <c r="H174" s="343">
        <v>127</v>
      </c>
      <c r="I174" s="343">
        <v>84</v>
      </c>
      <c r="J174" s="343">
        <v>0.000261</v>
      </c>
      <c r="K174" s="343">
        <v>0.181</v>
      </c>
      <c r="L174" s="329">
        <v>0.163</v>
      </c>
      <c r="M174">
        <f t="shared" si="10"/>
        <v>184</v>
      </c>
      <c r="N174" s="291">
        <f t="shared" si="11"/>
        <v>230</v>
      </c>
      <c r="O174" s="291">
        <f t="shared" si="12"/>
        <v>115</v>
      </c>
      <c r="P174" s="291">
        <f t="shared" si="13"/>
        <v>76.66666666666667</v>
      </c>
      <c r="AT174" s="465">
        <v>167</v>
      </c>
      <c r="AU174" s="472"/>
      <c r="AV174" s="493">
        <v>0.75</v>
      </c>
      <c r="AW174" s="479">
        <v>0.1</v>
      </c>
    </row>
    <row r="175" spans="1:49" ht="12.75">
      <c r="A175" s="351" t="s">
        <v>511</v>
      </c>
      <c r="B175" s="324">
        <v>166</v>
      </c>
      <c r="C175" s="237">
        <v>950</v>
      </c>
      <c r="D175" s="237">
        <v>475</v>
      </c>
      <c r="E175" s="237">
        <v>317</v>
      </c>
      <c r="F175" s="295">
        <v>253</v>
      </c>
      <c r="G175" s="236">
        <v>202</v>
      </c>
      <c r="H175" s="237">
        <v>127</v>
      </c>
      <c r="I175" s="237">
        <v>84</v>
      </c>
      <c r="J175" s="237">
        <v>0.000253</v>
      </c>
      <c r="K175" s="237">
        <v>0.175</v>
      </c>
      <c r="L175" s="236">
        <v>0.158</v>
      </c>
      <c r="M175">
        <f t="shared" si="10"/>
        <v>190</v>
      </c>
      <c r="N175" s="291">
        <f t="shared" si="11"/>
        <v>237.5</v>
      </c>
      <c r="O175" s="291">
        <f t="shared" si="12"/>
        <v>118.75</v>
      </c>
      <c r="P175" s="291">
        <f t="shared" si="13"/>
        <v>79.16666666666667</v>
      </c>
      <c r="AT175" s="465">
        <v>168</v>
      </c>
      <c r="AU175" s="472"/>
      <c r="AV175" s="493">
        <v>0.75</v>
      </c>
      <c r="AW175" s="479">
        <v>0.1</v>
      </c>
    </row>
    <row r="176" spans="1:49" ht="12.75">
      <c r="A176" s="351" t="s">
        <v>511</v>
      </c>
      <c r="B176" s="324">
        <v>167</v>
      </c>
      <c r="C176" s="237">
        <v>950</v>
      </c>
      <c r="D176" s="237">
        <v>475</v>
      </c>
      <c r="E176" s="237">
        <v>317</v>
      </c>
      <c r="F176" s="295">
        <v>253</v>
      </c>
      <c r="G176" s="236">
        <v>202</v>
      </c>
      <c r="H176" s="237">
        <v>127</v>
      </c>
      <c r="I176" s="237">
        <v>84</v>
      </c>
      <c r="J176" s="237">
        <v>0.000253</v>
      </c>
      <c r="K176" s="237">
        <v>0.175</v>
      </c>
      <c r="L176" s="236">
        <v>0.158</v>
      </c>
      <c r="M176">
        <f t="shared" si="10"/>
        <v>190</v>
      </c>
      <c r="N176" s="291">
        <f t="shared" si="11"/>
        <v>237.5</v>
      </c>
      <c r="O176" s="291">
        <f t="shared" si="12"/>
        <v>118.75</v>
      </c>
      <c r="P176" s="291">
        <f t="shared" si="13"/>
        <v>79.16666666666667</v>
      </c>
      <c r="AT176" s="465">
        <v>169</v>
      </c>
      <c r="AU176" s="472"/>
      <c r="AV176" s="493">
        <v>0.75</v>
      </c>
      <c r="AW176" s="479">
        <v>0.1</v>
      </c>
    </row>
    <row r="177" spans="1:49" ht="12.75">
      <c r="A177" s="351" t="s">
        <v>511</v>
      </c>
      <c r="B177" s="324">
        <v>168</v>
      </c>
      <c r="C177" s="237">
        <v>950</v>
      </c>
      <c r="D177" s="237">
        <v>475</v>
      </c>
      <c r="E177" s="237">
        <v>317</v>
      </c>
      <c r="F177" s="295">
        <v>253</v>
      </c>
      <c r="G177" s="236">
        <v>202</v>
      </c>
      <c r="H177" s="237">
        <v>127</v>
      </c>
      <c r="I177" s="237">
        <v>84</v>
      </c>
      <c r="J177" s="237">
        <v>0.000253</v>
      </c>
      <c r="K177" s="237">
        <v>0.175</v>
      </c>
      <c r="L177" s="236">
        <v>0.158</v>
      </c>
      <c r="M177">
        <f t="shared" si="10"/>
        <v>190</v>
      </c>
      <c r="N177" s="291">
        <f t="shared" si="11"/>
        <v>237.5</v>
      </c>
      <c r="O177" s="291">
        <f t="shared" si="12"/>
        <v>118.75</v>
      </c>
      <c r="P177" s="291">
        <f t="shared" si="13"/>
        <v>79.16666666666667</v>
      </c>
      <c r="AT177" s="466">
        <v>170</v>
      </c>
      <c r="AU177" s="472"/>
      <c r="AV177" s="493">
        <v>0.75</v>
      </c>
      <c r="AW177" s="479">
        <v>0.1</v>
      </c>
    </row>
    <row r="178" spans="1:49" ht="12.75">
      <c r="A178" s="351" t="s">
        <v>511</v>
      </c>
      <c r="B178" s="324">
        <v>169</v>
      </c>
      <c r="C178" s="237">
        <v>950</v>
      </c>
      <c r="D178" s="237">
        <v>475</v>
      </c>
      <c r="E178" s="237">
        <v>317</v>
      </c>
      <c r="F178" s="295">
        <v>253</v>
      </c>
      <c r="G178" s="236">
        <v>202</v>
      </c>
      <c r="H178" s="237">
        <v>127</v>
      </c>
      <c r="I178" s="237">
        <v>84</v>
      </c>
      <c r="J178" s="237">
        <v>0.000253</v>
      </c>
      <c r="K178" s="237">
        <v>0.175</v>
      </c>
      <c r="L178" s="236">
        <v>0.158</v>
      </c>
      <c r="M178">
        <f t="shared" si="10"/>
        <v>190</v>
      </c>
      <c r="N178" s="291">
        <f t="shared" si="11"/>
        <v>237.5</v>
      </c>
      <c r="O178" s="291">
        <f t="shared" si="12"/>
        <v>118.75</v>
      </c>
      <c r="P178" s="291">
        <f t="shared" si="13"/>
        <v>79.16666666666667</v>
      </c>
      <c r="AT178" s="465">
        <v>171</v>
      </c>
      <c r="AU178" s="472"/>
      <c r="AV178" s="493">
        <v>0.75</v>
      </c>
      <c r="AW178" s="479">
        <v>0.1</v>
      </c>
    </row>
    <row r="179" spans="1:49" ht="12.75">
      <c r="A179" s="351" t="s">
        <v>511</v>
      </c>
      <c r="B179" s="326">
        <v>170</v>
      </c>
      <c r="C179" s="329">
        <v>950</v>
      </c>
      <c r="D179" s="343">
        <v>475</v>
      </c>
      <c r="E179" s="343">
        <v>317</v>
      </c>
      <c r="F179" s="328">
        <v>253</v>
      </c>
      <c r="G179" s="329">
        <v>202</v>
      </c>
      <c r="H179" s="343">
        <v>127</v>
      </c>
      <c r="I179" s="343">
        <v>84</v>
      </c>
      <c r="J179" s="343">
        <v>0.000253</v>
      </c>
      <c r="K179" s="343">
        <v>0.175</v>
      </c>
      <c r="L179" s="329">
        <v>0.158</v>
      </c>
      <c r="M179">
        <f t="shared" si="10"/>
        <v>190</v>
      </c>
      <c r="N179" s="291">
        <f t="shared" si="11"/>
        <v>237.5</v>
      </c>
      <c r="O179" s="291">
        <f t="shared" si="12"/>
        <v>118.75</v>
      </c>
      <c r="P179" s="291">
        <f t="shared" si="13"/>
        <v>79.16666666666667</v>
      </c>
      <c r="AT179" s="465">
        <v>172</v>
      </c>
      <c r="AU179" s="472"/>
      <c r="AV179" s="493">
        <v>0.75</v>
      </c>
      <c r="AW179" s="479">
        <v>0.1</v>
      </c>
    </row>
    <row r="180" spans="1:49" ht="12.75">
      <c r="A180" s="351" t="s">
        <v>511</v>
      </c>
      <c r="B180" s="324">
        <v>171</v>
      </c>
      <c r="C180" s="237">
        <v>980</v>
      </c>
      <c r="D180" s="237">
        <v>490</v>
      </c>
      <c r="E180" s="237">
        <v>327</v>
      </c>
      <c r="F180" s="295">
        <v>253</v>
      </c>
      <c r="G180" s="236">
        <v>202</v>
      </c>
      <c r="H180" s="237">
        <v>127</v>
      </c>
      <c r="I180" s="237">
        <v>84</v>
      </c>
      <c r="J180" s="237">
        <v>0.000245</v>
      </c>
      <c r="K180" s="237">
        <v>0.17</v>
      </c>
      <c r="L180" s="236">
        <v>0.153</v>
      </c>
      <c r="M180">
        <f t="shared" si="10"/>
        <v>196</v>
      </c>
      <c r="N180" s="291">
        <f t="shared" si="11"/>
        <v>245</v>
      </c>
      <c r="O180" s="291">
        <f t="shared" si="12"/>
        <v>122.5</v>
      </c>
      <c r="P180" s="291">
        <f t="shared" si="13"/>
        <v>81.66666666666667</v>
      </c>
      <c r="AT180" s="465">
        <v>173</v>
      </c>
      <c r="AU180" s="472"/>
      <c r="AV180" s="493">
        <v>0.75</v>
      </c>
      <c r="AW180" s="479">
        <v>0.1</v>
      </c>
    </row>
    <row r="181" spans="1:49" ht="12.75">
      <c r="A181" s="351" t="s">
        <v>511</v>
      </c>
      <c r="B181" s="324">
        <v>172</v>
      </c>
      <c r="C181" s="237">
        <v>980</v>
      </c>
      <c r="D181" s="237">
        <v>490</v>
      </c>
      <c r="E181" s="237">
        <v>327</v>
      </c>
      <c r="F181" s="295">
        <v>253</v>
      </c>
      <c r="G181" s="236">
        <v>202</v>
      </c>
      <c r="H181" s="237">
        <v>127</v>
      </c>
      <c r="I181" s="237">
        <v>84</v>
      </c>
      <c r="J181" s="237">
        <v>0.000245</v>
      </c>
      <c r="K181" s="237">
        <v>0.17</v>
      </c>
      <c r="L181" s="236">
        <v>0.153</v>
      </c>
      <c r="M181">
        <f t="shared" si="10"/>
        <v>196</v>
      </c>
      <c r="N181" s="291">
        <f t="shared" si="11"/>
        <v>245</v>
      </c>
      <c r="O181" s="291">
        <f t="shared" si="12"/>
        <v>122.5</v>
      </c>
      <c r="P181" s="291">
        <f t="shared" si="13"/>
        <v>81.66666666666667</v>
      </c>
      <c r="AT181" s="465">
        <v>174</v>
      </c>
      <c r="AU181" s="472"/>
      <c r="AV181" s="493">
        <v>0.75</v>
      </c>
      <c r="AW181" s="479">
        <v>0.1</v>
      </c>
    </row>
    <row r="182" spans="1:49" ht="12.75">
      <c r="A182" s="351" t="s">
        <v>511</v>
      </c>
      <c r="B182" s="324">
        <v>173</v>
      </c>
      <c r="C182" s="237">
        <v>980</v>
      </c>
      <c r="D182" s="237">
        <v>490</v>
      </c>
      <c r="E182" s="237">
        <v>327</v>
      </c>
      <c r="F182" s="295">
        <v>253</v>
      </c>
      <c r="G182" s="236">
        <v>202</v>
      </c>
      <c r="H182" s="237">
        <v>127</v>
      </c>
      <c r="I182" s="237">
        <v>84</v>
      </c>
      <c r="J182" s="237">
        <v>0.000245</v>
      </c>
      <c r="K182" s="237">
        <v>0.17</v>
      </c>
      <c r="L182" s="236">
        <v>0.153</v>
      </c>
      <c r="M182">
        <f t="shared" si="10"/>
        <v>196</v>
      </c>
      <c r="N182" s="291">
        <f t="shared" si="11"/>
        <v>245</v>
      </c>
      <c r="O182" s="291">
        <f t="shared" si="12"/>
        <v>122.5</v>
      </c>
      <c r="P182" s="291">
        <f t="shared" si="13"/>
        <v>81.66666666666667</v>
      </c>
      <c r="AT182" s="466">
        <v>175</v>
      </c>
      <c r="AU182" s="472"/>
      <c r="AV182" s="493">
        <v>0.75</v>
      </c>
      <c r="AW182" s="479">
        <v>0.1</v>
      </c>
    </row>
    <row r="183" spans="1:49" ht="12.75">
      <c r="A183" s="351" t="s">
        <v>511</v>
      </c>
      <c r="B183" s="324">
        <v>174</v>
      </c>
      <c r="C183" s="237">
        <v>980</v>
      </c>
      <c r="D183" s="237">
        <v>490</v>
      </c>
      <c r="E183" s="237">
        <v>327</v>
      </c>
      <c r="F183" s="295">
        <v>253</v>
      </c>
      <c r="G183" s="236">
        <v>202</v>
      </c>
      <c r="H183" s="237">
        <v>127</v>
      </c>
      <c r="I183" s="237">
        <v>84</v>
      </c>
      <c r="J183" s="237">
        <v>0.000245</v>
      </c>
      <c r="K183" s="237">
        <v>0.17</v>
      </c>
      <c r="L183" s="236">
        <v>0.153</v>
      </c>
      <c r="M183">
        <f t="shared" si="10"/>
        <v>196</v>
      </c>
      <c r="N183" s="291">
        <f t="shared" si="11"/>
        <v>245</v>
      </c>
      <c r="O183" s="291">
        <f t="shared" si="12"/>
        <v>122.5</v>
      </c>
      <c r="P183" s="291">
        <f t="shared" si="13"/>
        <v>81.66666666666667</v>
      </c>
      <c r="AT183" s="465">
        <v>176</v>
      </c>
      <c r="AU183" s="472"/>
      <c r="AV183" s="493">
        <v>0.75</v>
      </c>
      <c r="AW183" s="479">
        <v>0.1</v>
      </c>
    </row>
    <row r="184" spans="1:49" ht="12.75">
      <c r="A184" s="351" t="s">
        <v>511</v>
      </c>
      <c r="B184" s="326">
        <v>175</v>
      </c>
      <c r="C184" s="329">
        <v>980</v>
      </c>
      <c r="D184" s="343">
        <v>490</v>
      </c>
      <c r="E184" s="343">
        <v>327</v>
      </c>
      <c r="F184" s="328">
        <v>253</v>
      </c>
      <c r="G184" s="329">
        <v>202</v>
      </c>
      <c r="H184" s="343">
        <v>127</v>
      </c>
      <c r="I184" s="343">
        <v>84</v>
      </c>
      <c r="J184" s="343">
        <v>0.000245</v>
      </c>
      <c r="K184" s="343">
        <v>0.17</v>
      </c>
      <c r="L184" s="329">
        <v>0.153</v>
      </c>
      <c r="M184">
        <f t="shared" si="10"/>
        <v>196</v>
      </c>
      <c r="N184" s="291">
        <f t="shared" si="11"/>
        <v>245</v>
      </c>
      <c r="O184" s="291">
        <f t="shared" si="12"/>
        <v>122.5</v>
      </c>
      <c r="P184" s="291">
        <f t="shared" si="13"/>
        <v>81.66666666666667</v>
      </c>
      <c r="AT184" s="465">
        <v>177</v>
      </c>
      <c r="AU184" s="472"/>
      <c r="AV184" s="493">
        <v>0.75</v>
      </c>
      <c r="AW184" s="479">
        <v>0.1</v>
      </c>
    </row>
    <row r="185" spans="1:49" ht="12.75">
      <c r="A185" s="351" t="s">
        <v>511</v>
      </c>
      <c r="B185" s="324">
        <v>176</v>
      </c>
      <c r="C185" s="237">
        <v>1010</v>
      </c>
      <c r="D185" s="237">
        <v>505</v>
      </c>
      <c r="E185" s="237">
        <v>337</v>
      </c>
      <c r="F185" s="295">
        <v>253</v>
      </c>
      <c r="G185" s="236">
        <v>202</v>
      </c>
      <c r="H185" s="237">
        <v>127</v>
      </c>
      <c r="I185" s="237">
        <v>84</v>
      </c>
      <c r="J185" s="237">
        <v>0.000245</v>
      </c>
      <c r="K185" s="237">
        <v>0.165</v>
      </c>
      <c r="L185" s="236">
        <v>0.149</v>
      </c>
      <c r="M185">
        <f t="shared" si="10"/>
        <v>202</v>
      </c>
      <c r="N185" s="291">
        <f t="shared" si="11"/>
        <v>252.5</v>
      </c>
      <c r="O185" s="291">
        <f t="shared" si="12"/>
        <v>126.25</v>
      </c>
      <c r="P185" s="291">
        <f t="shared" si="13"/>
        <v>84.16666666666667</v>
      </c>
      <c r="AT185" s="465">
        <v>178</v>
      </c>
      <c r="AU185" s="472"/>
      <c r="AV185" s="493">
        <v>0.75</v>
      </c>
      <c r="AW185" s="479">
        <v>0.1</v>
      </c>
    </row>
    <row r="186" spans="1:49" ht="12.75">
      <c r="A186" s="351" t="s">
        <v>511</v>
      </c>
      <c r="B186" s="324">
        <v>177</v>
      </c>
      <c r="C186" s="237">
        <v>1010</v>
      </c>
      <c r="D186" s="237">
        <v>505</v>
      </c>
      <c r="E186" s="237">
        <v>337</v>
      </c>
      <c r="F186" s="295">
        <v>253</v>
      </c>
      <c r="G186" s="236">
        <v>202</v>
      </c>
      <c r="H186" s="237">
        <v>127</v>
      </c>
      <c r="I186" s="237">
        <v>84</v>
      </c>
      <c r="J186" s="237">
        <v>0.000245</v>
      </c>
      <c r="K186" s="237">
        <v>0.165</v>
      </c>
      <c r="L186" s="236">
        <v>0.149</v>
      </c>
      <c r="M186">
        <f t="shared" si="10"/>
        <v>202</v>
      </c>
      <c r="N186" s="291">
        <f t="shared" si="11"/>
        <v>252.5</v>
      </c>
      <c r="O186" s="291">
        <f t="shared" si="12"/>
        <v>126.25</v>
      </c>
      <c r="P186" s="291">
        <f t="shared" si="13"/>
        <v>84.16666666666667</v>
      </c>
      <c r="AT186" s="465">
        <v>179</v>
      </c>
      <c r="AU186" s="472"/>
      <c r="AV186" s="493">
        <v>0.75</v>
      </c>
      <c r="AW186" s="479">
        <v>0.1</v>
      </c>
    </row>
    <row r="187" spans="1:49" ht="13.5" thickBot="1">
      <c r="A187" s="351" t="s">
        <v>511</v>
      </c>
      <c r="B187" s="324">
        <v>178</v>
      </c>
      <c r="C187" s="237">
        <v>1010</v>
      </c>
      <c r="D187" s="237">
        <v>505</v>
      </c>
      <c r="E187" s="237">
        <v>337</v>
      </c>
      <c r="F187" s="295">
        <v>253</v>
      </c>
      <c r="G187" s="236">
        <v>202</v>
      </c>
      <c r="H187" s="237">
        <v>127</v>
      </c>
      <c r="I187" s="237">
        <v>84</v>
      </c>
      <c r="J187" s="237">
        <v>0.000245</v>
      </c>
      <c r="K187" s="237">
        <v>0.165</v>
      </c>
      <c r="L187" s="236">
        <v>0.149</v>
      </c>
      <c r="M187">
        <f t="shared" si="10"/>
        <v>202</v>
      </c>
      <c r="N187" s="291">
        <f t="shared" si="11"/>
        <v>252.5</v>
      </c>
      <c r="O187" s="291">
        <f t="shared" si="12"/>
        <v>126.25</v>
      </c>
      <c r="P187" s="291">
        <f t="shared" si="13"/>
        <v>84.16666666666667</v>
      </c>
      <c r="AT187" s="466">
        <v>180</v>
      </c>
      <c r="AU187" s="458"/>
      <c r="AV187" s="497">
        <v>0.75</v>
      </c>
      <c r="AW187" s="480">
        <v>0.1</v>
      </c>
    </row>
    <row r="188" spans="1:49" ht="13.5" thickBot="1">
      <c r="A188" s="351" t="s">
        <v>511</v>
      </c>
      <c r="B188" s="324">
        <v>179</v>
      </c>
      <c r="C188" s="237">
        <v>1010</v>
      </c>
      <c r="D188" s="237">
        <v>505</v>
      </c>
      <c r="E188" s="237">
        <v>337</v>
      </c>
      <c r="F188" s="295">
        <v>253</v>
      </c>
      <c r="G188" s="236">
        <v>202</v>
      </c>
      <c r="H188" s="237">
        <v>127</v>
      </c>
      <c r="I188" s="237">
        <v>84</v>
      </c>
      <c r="J188" s="237">
        <v>0.000245</v>
      </c>
      <c r="K188" s="237">
        <v>0.165</v>
      </c>
      <c r="L188" s="236">
        <v>0.149</v>
      </c>
      <c r="M188">
        <f t="shared" si="10"/>
        <v>202</v>
      </c>
      <c r="N188" s="291">
        <f t="shared" si="11"/>
        <v>252.5</v>
      </c>
      <c r="O188" s="291">
        <f t="shared" si="12"/>
        <v>126.25</v>
      </c>
      <c r="P188" s="291">
        <f t="shared" si="13"/>
        <v>84.16666666666667</v>
      </c>
      <c r="AT188" s="482">
        <v>181</v>
      </c>
      <c r="AU188" s="458" t="s">
        <v>597</v>
      </c>
      <c r="AV188" s="459">
        <v>0.5</v>
      </c>
      <c r="AW188" s="498">
        <v>0.075</v>
      </c>
    </row>
    <row r="189" spans="1:49" ht="12.75">
      <c r="A189" s="351" t="s">
        <v>511</v>
      </c>
      <c r="B189" s="326">
        <v>180</v>
      </c>
      <c r="C189" s="329">
        <v>1010</v>
      </c>
      <c r="D189" s="343">
        <v>505</v>
      </c>
      <c r="E189" s="343">
        <v>337</v>
      </c>
      <c r="F189" s="328">
        <v>253</v>
      </c>
      <c r="G189" s="329">
        <v>202</v>
      </c>
      <c r="H189" s="343">
        <v>127</v>
      </c>
      <c r="I189" s="343">
        <v>84</v>
      </c>
      <c r="J189" s="343">
        <v>0.000245</v>
      </c>
      <c r="K189" s="343">
        <v>0.165</v>
      </c>
      <c r="L189" s="329">
        <v>0.149</v>
      </c>
      <c r="M189">
        <f t="shared" si="10"/>
        <v>202</v>
      </c>
      <c r="N189" s="291">
        <f t="shared" si="11"/>
        <v>252.5</v>
      </c>
      <c r="O189" s="291">
        <f t="shared" si="12"/>
        <v>126.25</v>
      </c>
      <c r="P189" s="291">
        <f t="shared" si="13"/>
        <v>84.16666666666667</v>
      </c>
      <c r="AT189" s="399"/>
      <c r="AU189" s="399"/>
      <c r="AV189" s="463"/>
      <c r="AW189" s="463"/>
    </row>
    <row r="190" spans="1:49" ht="12.75" hidden="1">
      <c r="A190" s="351" t="s">
        <v>511</v>
      </c>
      <c r="B190" s="324"/>
      <c r="C190" s="237"/>
      <c r="D190" s="237"/>
      <c r="E190" s="237"/>
      <c r="F190" s="295">
        <f>C190*0.25</f>
        <v>0</v>
      </c>
      <c r="G190" s="236">
        <f>C190*0.2</f>
        <v>0</v>
      </c>
      <c r="H190" s="237"/>
      <c r="I190" s="237"/>
      <c r="J190" s="237"/>
      <c r="K190" s="237"/>
      <c r="L190" s="236"/>
      <c r="M190">
        <f t="shared" si="10"/>
        <v>0</v>
      </c>
      <c r="N190" s="291">
        <f t="shared" si="11"/>
        <v>0</v>
      </c>
      <c r="O190" s="291">
        <f t="shared" si="12"/>
        <v>0</v>
      </c>
      <c r="P190" s="291">
        <f t="shared" si="13"/>
        <v>0</v>
      </c>
      <c r="AT190" s="399"/>
      <c r="AU190" s="399"/>
      <c r="AV190" s="463"/>
      <c r="AW190" s="463"/>
    </row>
    <row r="191" spans="1:49" ht="12.75">
      <c r="A191" s="351" t="s">
        <v>511</v>
      </c>
      <c r="B191" s="356">
        <v>181</v>
      </c>
      <c r="C191" s="288">
        <v>1040</v>
      </c>
      <c r="D191" s="288">
        <v>520</v>
      </c>
      <c r="E191" s="288">
        <v>347</v>
      </c>
      <c r="F191" s="289">
        <v>298</v>
      </c>
      <c r="G191" s="290">
        <v>238</v>
      </c>
      <c r="H191" s="288">
        <v>149</v>
      </c>
      <c r="I191" s="288">
        <v>99</v>
      </c>
      <c r="J191" s="288">
        <v>0.000231</v>
      </c>
      <c r="K191" s="288">
        <v>0.16</v>
      </c>
      <c r="L191" s="290">
        <v>0.144</v>
      </c>
      <c r="M191">
        <f t="shared" si="10"/>
        <v>208</v>
      </c>
      <c r="N191" s="291">
        <f t="shared" si="11"/>
        <v>260</v>
      </c>
      <c r="O191" s="291">
        <f t="shared" si="12"/>
        <v>130</v>
      </c>
      <c r="P191" s="291">
        <f t="shared" si="13"/>
        <v>86.66666666666667</v>
      </c>
      <c r="AT191" s="399"/>
      <c r="AU191" s="399"/>
      <c r="AV191" s="463"/>
      <c r="AW191" s="463"/>
    </row>
    <row r="192" spans="1:49" ht="12.75">
      <c r="A192" s="351" t="s">
        <v>511</v>
      </c>
      <c r="B192" s="356">
        <v>182</v>
      </c>
      <c r="C192" s="288">
        <v>1040</v>
      </c>
      <c r="D192" s="288">
        <v>520</v>
      </c>
      <c r="E192" s="288">
        <v>347</v>
      </c>
      <c r="F192" s="289">
        <v>298</v>
      </c>
      <c r="G192" s="290">
        <v>238</v>
      </c>
      <c r="H192" s="288">
        <v>149</v>
      </c>
      <c r="I192" s="288">
        <v>99</v>
      </c>
      <c r="J192" s="288">
        <v>0.000231</v>
      </c>
      <c r="K192" s="288">
        <v>0.16</v>
      </c>
      <c r="L192" s="290">
        <v>0.144</v>
      </c>
      <c r="M192">
        <f t="shared" si="10"/>
        <v>208</v>
      </c>
      <c r="N192" s="291">
        <f t="shared" si="11"/>
        <v>260</v>
      </c>
      <c r="O192" s="291">
        <f t="shared" si="12"/>
        <v>130</v>
      </c>
      <c r="P192" s="291">
        <f t="shared" si="13"/>
        <v>86.66666666666667</v>
      </c>
      <c r="AT192" s="399"/>
      <c r="AU192" s="399"/>
      <c r="AV192" s="463"/>
      <c r="AW192" s="463"/>
    </row>
    <row r="193" spans="1:49" ht="12.75">
      <c r="A193" s="351" t="s">
        <v>511</v>
      </c>
      <c r="B193" s="356">
        <v>183</v>
      </c>
      <c r="C193" s="288">
        <v>1040</v>
      </c>
      <c r="D193" s="288">
        <v>520</v>
      </c>
      <c r="E193" s="288">
        <v>347</v>
      </c>
      <c r="F193" s="289">
        <v>298</v>
      </c>
      <c r="G193" s="290">
        <v>238</v>
      </c>
      <c r="H193" s="288">
        <v>149</v>
      </c>
      <c r="I193" s="288">
        <v>99</v>
      </c>
      <c r="J193" s="288">
        <v>0.000231</v>
      </c>
      <c r="K193" s="288">
        <v>0.16</v>
      </c>
      <c r="L193" s="290">
        <v>0.144</v>
      </c>
      <c r="M193">
        <f t="shared" si="10"/>
        <v>208</v>
      </c>
      <c r="N193" s="291">
        <f t="shared" si="11"/>
        <v>260</v>
      </c>
      <c r="O193" s="291">
        <f t="shared" si="12"/>
        <v>130</v>
      </c>
      <c r="P193" s="291">
        <f t="shared" si="13"/>
        <v>86.66666666666667</v>
      </c>
      <c r="AT193" s="399"/>
      <c r="AU193" s="399"/>
      <c r="AV193" s="463"/>
      <c r="AW193" s="463"/>
    </row>
    <row r="194" spans="1:49" ht="12.75">
      <c r="A194" s="351" t="s">
        <v>511</v>
      </c>
      <c r="B194" s="356">
        <v>184</v>
      </c>
      <c r="C194" s="288">
        <v>1040</v>
      </c>
      <c r="D194" s="288">
        <v>520</v>
      </c>
      <c r="E194" s="288">
        <v>347</v>
      </c>
      <c r="F194" s="289">
        <v>298</v>
      </c>
      <c r="G194" s="290">
        <v>238</v>
      </c>
      <c r="H194" s="288">
        <v>149</v>
      </c>
      <c r="I194" s="288">
        <v>99</v>
      </c>
      <c r="J194" s="288">
        <v>0.000231</v>
      </c>
      <c r="K194" s="288">
        <v>0.16</v>
      </c>
      <c r="L194" s="290">
        <v>0.144</v>
      </c>
      <c r="M194">
        <f t="shared" si="10"/>
        <v>208</v>
      </c>
      <c r="N194" s="291">
        <f t="shared" si="11"/>
        <v>260</v>
      </c>
      <c r="O194" s="291">
        <f t="shared" si="12"/>
        <v>130</v>
      </c>
      <c r="P194" s="291">
        <f t="shared" si="13"/>
        <v>86.66666666666667</v>
      </c>
      <c r="AT194" s="399"/>
      <c r="AU194" s="399"/>
      <c r="AV194" s="463"/>
      <c r="AW194" s="463"/>
    </row>
    <row r="195" spans="1:49" ht="12.75">
      <c r="A195" s="351" t="s">
        <v>511</v>
      </c>
      <c r="B195" s="357">
        <v>185</v>
      </c>
      <c r="C195" s="362">
        <v>1040</v>
      </c>
      <c r="D195" s="363">
        <v>520</v>
      </c>
      <c r="E195" s="363">
        <v>347</v>
      </c>
      <c r="F195" s="364">
        <v>298</v>
      </c>
      <c r="G195" s="362">
        <v>238</v>
      </c>
      <c r="H195" s="363">
        <v>149</v>
      </c>
      <c r="I195" s="363">
        <v>99</v>
      </c>
      <c r="J195" s="363">
        <v>0.000231</v>
      </c>
      <c r="K195" s="363">
        <v>0.16</v>
      </c>
      <c r="L195" s="362">
        <v>0.144</v>
      </c>
      <c r="M195">
        <f t="shared" si="10"/>
        <v>208</v>
      </c>
      <c r="N195" s="291">
        <f t="shared" si="11"/>
        <v>260</v>
      </c>
      <c r="O195" s="291">
        <f t="shared" si="12"/>
        <v>130</v>
      </c>
      <c r="P195" s="291">
        <f t="shared" si="13"/>
        <v>86.66666666666667</v>
      </c>
      <c r="AT195" s="399"/>
      <c r="AU195" s="399"/>
      <c r="AV195" s="463"/>
      <c r="AW195" s="463"/>
    </row>
    <row r="196" spans="1:16" ht="12.75">
      <c r="A196" s="351" t="s">
        <v>511</v>
      </c>
      <c r="B196" s="356">
        <v>186</v>
      </c>
      <c r="C196" s="288">
        <v>1070</v>
      </c>
      <c r="D196" s="288">
        <v>535</v>
      </c>
      <c r="E196" s="288">
        <v>357</v>
      </c>
      <c r="F196" s="289">
        <v>298</v>
      </c>
      <c r="G196" s="290">
        <v>238</v>
      </c>
      <c r="H196" s="288">
        <v>149</v>
      </c>
      <c r="I196" s="288">
        <v>99</v>
      </c>
      <c r="J196" s="288">
        <v>0.000224</v>
      </c>
      <c r="K196" s="288">
        <v>0.156</v>
      </c>
      <c r="L196" s="290">
        <v>0.14</v>
      </c>
      <c r="M196">
        <f t="shared" si="10"/>
        <v>214</v>
      </c>
      <c r="N196" s="291">
        <f t="shared" si="11"/>
        <v>267.5</v>
      </c>
      <c r="O196" s="291">
        <f t="shared" si="12"/>
        <v>133.75</v>
      </c>
      <c r="P196" s="291">
        <f t="shared" si="13"/>
        <v>89.16666666666667</v>
      </c>
    </row>
    <row r="197" spans="1:16" ht="12.75">
      <c r="A197" s="351" t="s">
        <v>511</v>
      </c>
      <c r="B197" s="356">
        <v>187</v>
      </c>
      <c r="C197" s="288">
        <v>1070</v>
      </c>
      <c r="D197" s="288">
        <v>535</v>
      </c>
      <c r="E197" s="288">
        <v>357</v>
      </c>
      <c r="F197" s="289">
        <v>298</v>
      </c>
      <c r="G197" s="290">
        <v>238</v>
      </c>
      <c r="H197" s="288">
        <v>149</v>
      </c>
      <c r="I197" s="288">
        <v>99</v>
      </c>
      <c r="J197" s="288">
        <v>0.000224</v>
      </c>
      <c r="K197" s="288">
        <v>0.156</v>
      </c>
      <c r="L197" s="290">
        <v>0.14</v>
      </c>
      <c r="M197">
        <f t="shared" si="10"/>
        <v>214</v>
      </c>
      <c r="N197" s="291">
        <f t="shared" si="11"/>
        <v>267.5</v>
      </c>
      <c r="O197" s="291">
        <f t="shared" si="12"/>
        <v>133.75</v>
      </c>
      <c r="P197" s="291">
        <f t="shared" si="13"/>
        <v>89.16666666666667</v>
      </c>
    </row>
    <row r="198" spans="1:16" ht="12.75">
      <c r="A198" s="351" t="s">
        <v>511</v>
      </c>
      <c r="B198" s="356">
        <v>188</v>
      </c>
      <c r="C198" s="288">
        <v>1070</v>
      </c>
      <c r="D198" s="288">
        <v>535</v>
      </c>
      <c r="E198" s="288">
        <v>357</v>
      </c>
      <c r="F198" s="289">
        <v>298</v>
      </c>
      <c r="G198" s="290">
        <v>238</v>
      </c>
      <c r="H198" s="288">
        <v>149</v>
      </c>
      <c r="I198" s="288">
        <v>99</v>
      </c>
      <c r="J198" s="288">
        <v>0.000224</v>
      </c>
      <c r="K198" s="288">
        <v>0.156</v>
      </c>
      <c r="L198" s="290">
        <v>0.14</v>
      </c>
      <c r="M198">
        <f t="shared" si="10"/>
        <v>214</v>
      </c>
      <c r="N198" s="291">
        <f t="shared" si="11"/>
        <v>267.5</v>
      </c>
      <c r="O198" s="291">
        <f t="shared" si="12"/>
        <v>133.75</v>
      </c>
      <c r="P198" s="291">
        <f t="shared" si="13"/>
        <v>89.16666666666667</v>
      </c>
    </row>
    <row r="199" spans="1:16" ht="12.75">
      <c r="A199" s="351" t="s">
        <v>511</v>
      </c>
      <c r="B199" s="356">
        <v>189</v>
      </c>
      <c r="C199" s="288">
        <v>1070</v>
      </c>
      <c r="D199" s="288">
        <v>535</v>
      </c>
      <c r="E199" s="288">
        <v>357</v>
      </c>
      <c r="F199" s="289">
        <v>298</v>
      </c>
      <c r="G199" s="290">
        <v>238</v>
      </c>
      <c r="H199" s="288">
        <v>149</v>
      </c>
      <c r="I199" s="288">
        <v>99</v>
      </c>
      <c r="J199" s="288">
        <v>0.000224</v>
      </c>
      <c r="K199" s="288">
        <v>0.156</v>
      </c>
      <c r="L199" s="290">
        <v>0.14</v>
      </c>
      <c r="M199">
        <f t="shared" si="10"/>
        <v>214</v>
      </c>
      <c r="N199" s="291">
        <f t="shared" si="11"/>
        <v>267.5</v>
      </c>
      <c r="O199" s="291">
        <f t="shared" si="12"/>
        <v>133.75</v>
      </c>
      <c r="P199" s="291">
        <f t="shared" si="13"/>
        <v>89.16666666666667</v>
      </c>
    </row>
    <row r="200" spans="1:16" ht="12.75">
      <c r="A200" s="351" t="s">
        <v>511</v>
      </c>
      <c r="B200" s="357">
        <v>190</v>
      </c>
      <c r="C200" s="358">
        <v>1070</v>
      </c>
      <c r="D200" s="359">
        <v>535</v>
      </c>
      <c r="E200" s="359">
        <v>357</v>
      </c>
      <c r="F200" s="360">
        <v>298</v>
      </c>
      <c r="G200" s="358">
        <v>238</v>
      </c>
      <c r="H200" s="359">
        <v>149</v>
      </c>
      <c r="I200" s="359">
        <v>99</v>
      </c>
      <c r="J200" s="359">
        <v>0.000224</v>
      </c>
      <c r="K200" s="359">
        <v>0.156</v>
      </c>
      <c r="L200" s="358">
        <v>0.14</v>
      </c>
      <c r="M200">
        <f t="shared" si="10"/>
        <v>214</v>
      </c>
      <c r="N200" s="291">
        <f t="shared" si="11"/>
        <v>267.5</v>
      </c>
      <c r="O200" s="291">
        <f t="shared" si="12"/>
        <v>133.75</v>
      </c>
      <c r="P200" s="291">
        <f t="shared" si="13"/>
        <v>89.16666666666667</v>
      </c>
    </row>
    <row r="201" spans="1:16" ht="12.75">
      <c r="A201" s="351" t="s">
        <v>511</v>
      </c>
      <c r="B201" s="356">
        <v>191</v>
      </c>
      <c r="C201" s="288">
        <v>1100</v>
      </c>
      <c r="D201" s="288">
        <v>550</v>
      </c>
      <c r="E201" s="288">
        <v>367</v>
      </c>
      <c r="F201" s="289">
        <v>298</v>
      </c>
      <c r="G201" s="290">
        <v>238</v>
      </c>
      <c r="H201" s="288">
        <v>149</v>
      </c>
      <c r="I201" s="288">
        <v>99</v>
      </c>
      <c r="J201" s="288">
        <v>0.000218</v>
      </c>
      <c r="K201" s="288">
        <v>0.152</v>
      </c>
      <c r="L201" s="290">
        <v>0.136</v>
      </c>
      <c r="M201">
        <f t="shared" si="10"/>
        <v>220</v>
      </c>
      <c r="N201" s="291">
        <f t="shared" si="11"/>
        <v>275</v>
      </c>
      <c r="O201" s="291">
        <f t="shared" si="12"/>
        <v>137.5</v>
      </c>
      <c r="P201" s="291">
        <f t="shared" si="13"/>
        <v>91.66666666666667</v>
      </c>
    </row>
    <row r="202" spans="1:16" ht="12.75">
      <c r="A202" s="351" t="s">
        <v>511</v>
      </c>
      <c r="B202" s="356">
        <v>192</v>
      </c>
      <c r="C202" s="288">
        <v>1100</v>
      </c>
      <c r="D202" s="288">
        <v>550</v>
      </c>
      <c r="E202" s="288">
        <v>367</v>
      </c>
      <c r="F202" s="289">
        <v>298</v>
      </c>
      <c r="G202" s="290">
        <v>238</v>
      </c>
      <c r="H202" s="288">
        <v>149</v>
      </c>
      <c r="I202" s="288">
        <v>99</v>
      </c>
      <c r="J202" s="288">
        <v>0.000218</v>
      </c>
      <c r="K202" s="288">
        <v>0.152</v>
      </c>
      <c r="L202" s="290">
        <v>0.136</v>
      </c>
      <c r="M202">
        <f t="shared" si="10"/>
        <v>220</v>
      </c>
      <c r="N202" s="291">
        <f t="shared" si="11"/>
        <v>275</v>
      </c>
      <c r="O202" s="291">
        <f t="shared" si="12"/>
        <v>137.5</v>
      </c>
      <c r="P202" s="291">
        <f t="shared" si="13"/>
        <v>91.66666666666667</v>
      </c>
    </row>
    <row r="203" spans="1:16" ht="12.75">
      <c r="A203" s="351" t="s">
        <v>511</v>
      </c>
      <c r="B203" s="356">
        <v>193</v>
      </c>
      <c r="C203" s="288">
        <v>1100</v>
      </c>
      <c r="D203" s="288">
        <v>550</v>
      </c>
      <c r="E203" s="288">
        <v>367</v>
      </c>
      <c r="F203" s="289">
        <v>298</v>
      </c>
      <c r="G203" s="290">
        <v>238</v>
      </c>
      <c r="H203" s="288">
        <v>149</v>
      </c>
      <c r="I203" s="288">
        <v>99</v>
      </c>
      <c r="J203" s="288">
        <v>0.000218</v>
      </c>
      <c r="K203" s="288">
        <v>0.152</v>
      </c>
      <c r="L203" s="290">
        <v>0.136</v>
      </c>
      <c r="M203">
        <f t="shared" si="10"/>
        <v>220</v>
      </c>
      <c r="N203" s="291">
        <f t="shared" si="11"/>
        <v>275</v>
      </c>
      <c r="O203" s="291">
        <f t="shared" si="12"/>
        <v>137.5</v>
      </c>
      <c r="P203" s="291">
        <f t="shared" si="13"/>
        <v>91.66666666666667</v>
      </c>
    </row>
    <row r="204" spans="1:16" ht="12.75">
      <c r="A204" s="351" t="s">
        <v>511</v>
      </c>
      <c r="B204" s="356">
        <v>194</v>
      </c>
      <c r="C204" s="288">
        <v>1100</v>
      </c>
      <c r="D204" s="288">
        <v>550</v>
      </c>
      <c r="E204" s="288">
        <v>367</v>
      </c>
      <c r="F204" s="289">
        <v>298</v>
      </c>
      <c r="G204" s="290">
        <v>238</v>
      </c>
      <c r="H204" s="288">
        <v>149</v>
      </c>
      <c r="I204" s="288">
        <v>99</v>
      </c>
      <c r="J204" s="288">
        <v>0.000218</v>
      </c>
      <c r="K204" s="288">
        <v>0.152</v>
      </c>
      <c r="L204" s="290">
        <v>0.136</v>
      </c>
      <c r="M204">
        <f t="shared" si="10"/>
        <v>220</v>
      </c>
      <c r="N204" s="291">
        <f t="shared" si="11"/>
        <v>275</v>
      </c>
      <c r="O204" s="291">
        <f t="shared" si="12"/>
        <v>137.5</v>
      </c>
      <c r="P204" s="291">
        <f t="shared" si="13"/>
        <v>91.66666666666667</v>
      </c>
    </row>
    <row r="205" spans="1:16" ht="12.75">
      <c r="A205" s="351" t="s">
        <v>511</v>
      </c>
      <c r="B205" s="357">
        <v>195</v>
      </c>
      <c r="C205" s="362">
        <v>1100</v>
      </c>
      <c r="D205" s="363">
        <v>550</v>
      </c>
      <c r="E205" s="363">
        <v>367</v>
      </c>
      <c r="F205" s="364">
        <v>298</v>
      </c>
      <c r="G205" s="362">
        <v>238</v>
      </c>
      <c r="H205" s="363">
        <v>149</v>
      </c>
      <c r="I205" s="363">
        <v>99</v>
      </c>
      <c r="J205" s="363">
        <v>0.000218</v>
      </c>
      <c r="K205" s="363">
        <v>0.152</v>
      </c>
      <c r="L205" s="362">
        <v>0.136</v>
      </c>
      <c r="M205">
        <f t="shared" si="10"/>
        <v>220</v>
      </c>
      <c r="N205" s="291">
        <f t="shared" si="11"/>
        <v>275</v>
      </c>
      <c r="O205" s="291">
        <f t="shared" si="12"/>
        <v>137.5</v>
      </c>
      <c r="P205" s="291">
        <f t="shared" si="13"/>
        <v>91.66666666666667</v>
      </c>
    </row>
    <row r="206" spans="1:16" ht="12.75">
      <c r="A206" s="351" t="s">
        <v>511</v>
      </c>
      <c r="B206" s="356">
        <v>196</v>
      </c>
      <c r="C206" s="288">
        <v>1130</v>
      </c>
      <c r="D206" s="288">
        <v>565</v>
      </c>
      <c r="E206" s="288">
        <v>377</v>
      </c>
      <c r="F206" s="289">
        <v>298</v>
      </c>
      <c r="G206" s="290">
        <v>238</v>
      </c>
      <c r="H206" s="288">
        <v>149</v>
      </c>
      <c r="I206" s="288">
        <v>99</v>
      </c>
      <c r="J206" s="288">
        <v>0.000212</v>
      </c>
      <c r="K206" s="288">
        <v>0.147</v>
      </c>
      <c r="L206" s="290">
        <v>0.133</v>
      </c>
      <c r="M206">
        <f t="shared" si="10"/>
        <v>226</v>
      </c>
      <c r="N206" s="291">
        <f t="shared" si="11"/>
        <v>282.5</v>
      </c>
      <c r="O206" s="291">
        <f t="shared" si="12"/>
        <v>141.25</v>
      </c>
      <c r="P206" s="291">
        <f t="shared" si="13"/>
        <v>94.16666666666667</v>
      </c>
    </row>
    <row r="207" spans="1:16" ht="12.75">
      <c r="A207" s="351" t="s">
        <v>511</v>
      </c>
      <c r="B207" s="356">
        <v>197</v>
      </c>
      <c r="C207" s="288">
        <v>1130</v>
      </c>
      <c r="D207" s="288">
        <v>565</v>
      </c>
      <c r="E207" s="288">
        <v>377</v>
      </c>
      <c r="F207" s="289">
        <v>298</v>
      </c>
      <c r="G207" s="290">
        <v>238</v>
      </c>
      <c r="H207" s="288">
        <v>149</v>
      </c>
      <c r="I207" s="288">
        <v>99</v>
      </c>
      <c r="J207" s="288">
        <v>0.000212</v>
      </c>
      <c r="K207" s="288">
        <v>0.147</v>
      </c>
      <c r="L207" s="290">
        <v>0.133</v>
      </c>
      <c r="M207">
        <f aca="true" t="shared" si="14" ref="M207:M250">C207*0.2</f>
        <v>226</v>
      </c>
      <c r="N207" s="291">
        <f aca="true" t="shared" si="15" ref="N207:N250">C207*0.25</f>
        <v>282.5</v>
      </c>
      <c r="O207" s="291">
        <f aca="true" t="shared" si="16" ref="O207:O250">N207/2</f>
        <v>141.25</v>
      </c>
      <c r="P207" s="291">
        <f aca="true" t="shared" si="17" ref="P207:P250">N207/3</f>
        <v>94.16666666666667</v>
      </c>
    </row>
    <row r="208" spans="1:16" ht="12.75">
      <c r="A208" s="351" t="s">
        <v>511</v>
      </c>
      <c r="B208" s="356">
        <v>198</v>
      </c>
      <c r="C208" s="288">
        <v>1130</v>
      </c>
      <c r="D208" s="288">
        <v>565</v>
      </c>
      <c r="E208" s="288">
        <v>377</v>
      </c>
      <c r="F208" s="289">
        <v>298</v>
      </c>
      <c r="G208" s="290">
        <v>238</v>
      </c>
      <c r="H208" s="288">
        <v>149</v>
      </c>
      <c r="I208" s="288">
        <v>99</v>
      </c>
      <c r="J208" s="288">
        <v>0.000212</v>
      </c>
      <c r="K208" s="288">
        <v>0.147</v>
      </c>
      <c r="L208" s="290">
        <v>0.133</v>
      </c>
      <c r="M208">
        <f t="shared" si="14"/>
        <v>226</v>
      </c>
      <c r="N208" s="291">
        <f t="shared" si="15"/>
        <v>282.5</v>
      </c>
      <c r="O208" s="291">
        <f t="shared" si="16"/>
        <v>141.25</v>
      </c>
      <c r="P208" s="291">
        <f t="shared" si="17"/>
        <v>94.16666666666667</v>
      </c>
    </row>
    <row r="209" spans="1:16" ht="12.75">
      <c r="A209" s="351" t="s">
        <v>511</v>
      </c>
      <c r="B209" s="356">
        <v>199</v>
      </c>
      <c r="C209" s="288">
        <v>1130</v>
      </c>
      <c r="D209" s="288">
        <v>565</v>
      </c>
      <c r="E209" s="288">
        <v>377</v>
      </c>
      <c r="F209" s="289">
        <v>298</v>
      </c>
      <c r="G209" s="290">
        <v>238</v>
      </c>
      <c r="H209" s="288">
        <v>149</v>
      </c>
      <c r="I209" s="288">
        <v>99</v>
      </c>
      <c r="J209" s="288">
        <v>0.000212</v>
      </c>
      <c r="K209" s="288">
        <v>0.147</v>
      </c>
      <c r="L209" s="290">
        <v>0.133</v>
      </c>
      <c r="M209">
        <f t="shared" si="14"/>
        <v>226</v>
      </c>
      <c r="N209" s="291">
        <f t="shared" si="15"/>
        <v>282.5</v>
      </c>
      <c r="O209" s="291">
        <f t="shared" si="16"/>
        <v>141.25</v>
      </c>
      <c r="P209" s="291">
        <f t="shared" si="17"/>
        <v>94.16666666666667</v>
      </c>
    </row>
    <row r="210" spans="1:16" ht="12.75">
      <c r="A210" s="351" t="s">
        <v>511</v>
      </c>
      <c r="B210" s="357">
        <v>200</v>
      </c>
      <c r="C210" s="362">
        <v>1130</v>
      </c>
      <c r="D210" s="363">
        <v>565</v>
      </c>
      <c r="E210" s="363">
        <v>377</v>
      </c>
      <c r="F210" s="364">
        <v>298</v>
      </c>
      <c r="G210" s="362">
        <v>238</v>
      </c>
      <c r="H210" s="363">
        <v>149</v>
      </c>
      <c r="I210" s="363">
        <v>99</v>
      </c>
      <c r="J210" s="363">
        <v>0.000212</v>
      </c>
      <c r="K210" s="363">
        <v>0.147</v>
      </c>
      <c r="L210" s="362">
        <v>0.133</v>
      </c>
      <c r="M210">
        <f t="shared" si="14"/>
        <v>226</v>
      </c>
      <c r="N210" s="291">
        <f t="shared" si="15"/>
        <v>282.5</v>
      </c>
      <c r="O210" s="291">
        <f t="shared" si="16"/>
        <v>141.25</v>
      </c>
      <c r="P210" s="291">
        <f t="shared" si="17"/>
        <v>94.16666666666667</v>
      </c>
    </row>
    <row r="211" spans="1:16" ht="12.75">
      <c r="A211" s="351" t="s">
        <v>511</v>
      </c>
      <c r="B211" s="356">
        <v>201</v>
      </c>
      <c r="C211" s="288">
        <v>1160</v>
      </c>
      <c r="D211" s="288">
        <v>580</v>
      </c>
      <c r="E211" s="288">
        <v>387</v>
      </c>
      <c r="F211" s="289">
        <v>298</v>
      </c>
      <c r="G211" s="290">
        <v>238</v>
      </c>
      <c r="H211" s="288">
        <v>149</v>
      </c>
      <c r="I211" s="288">
        <v>99</v>
      </c>
      <c r="J211" s="288">
        <v>0.000207</v>
      </c>
      <c r="K211" s="288">
        <v>0.144</v>
      </c>
      <c r="L211" s="290">
        <v>0.129</v>
      </c>
      <c r="M211">
        <f t="shared" si="14"/>
        <v>232</v>
      </c>
      <c r="N211" s="291">
        <f t="shared" si="15"/>
        <v>290</v>
      </c>
      <c r="O211" s="291">
        <f t="shared" si="16"/>
        <v>145</v>
      </c>
      <c r="P211" s="291">
        <f t="shared" si="17"/>
        <v>96.66666666666667</v>
      </c>
    </row>
    <row r="212" spans="1:16" ht="12.75">
      <c r="A212" s="351" t="s">
        <v>511</v>
      </c>
      <c r="B212" s="356">
        <v>202</v>
      </c>
      <c r="C212" s="288">
        <v>1160</v>
      </c>
      <c r="D212" s="288">
        <v>580</v>
      </c>
      <c r="E212" s="288">
        <v>387</v>
      </c>
      <c r="F212" s="289">
        <v>298</v>
      </c>
      <c r="G212" s="290">
        <v>238</v>
      </c>
      <c r="H212" s="288">
        <v>149</v>
      </c>
      <c r="I212" s="288">
        <v>99</v>
      </c>
      <c r="J212" s="288">
        <v>0.000207</v>
      </c>
      <c r="K212" s="288">
        <v>0.144</v>
      </c>
      <c r="L212" s="290">
        <v>0.129</v>
      </c>
      <c r="M212">
        <f t="shared" si="14"/>
        <v>232</v>
      </c>
      <c r="N212" s="291">
        <f t="shared" si="15"/>
        <v>290</v>
      </c>
      <c r="O212" s="291">
        <f t="shared" si="16"/>
        <v>145</v>
      </c>
      <c r="P212" s="291">
        <f t="shared" si="17"/>
        <v>96.66666666666667</v>
      </c>
    </row>
    <row r="213" spans="1:16" ht="12.75">
      <c r="A213" s="351" t="s">
        <v>511</v>
      </c>
      <c r="B213" s="356">
        <v>203</v>
      </c>
      <c r="C213" s="288">
        <v>1160</v>
      </c>
      <c r="D213" s="288">
        <v>580</v>
      </c>
      <c r="E213" s="288">
        <v>387</v>
      </c>
      <c r="F213" s="289">
        <v>298</v>
      </c>
      <c r="G213" s="290">
        <v>238</v>
      </c>
      <c r="H213" s="288">
        <v>149</v>
      </c>
      <c r="I213" s="288">
        <v>99</v>
      </c>
      <c r="J213" s="288">
        <v>0.000207</v>
      </c>
      <c r="K213" s="288">
        <v>0.144</v>
      </c>
      <c r="L213" s="290">
        <v>0.129</v>
      </c>
      <c r="M213">
        <f t="shared" si="14"/>
        <v>232</v>
      </c>
      <c r="N213" s="291">
        <f t="shared" si="15"/>
        <v>290</v>
      </c>
      <c r="O213" s="291">
        <f t="shared" si="16"/>
        <v>145</v>
      </c>
      <c r="P213" s="291">
        <f t="shared" si="17"/>
        <v>96.66666666666667</v>
      </c>
    </row>
    <row r="214" spans="1:16" ht="12.75">
      <c r="A214" s="351" t="s">
        <v>511</v>
      </c>
      <c r="B214" s="356">
        <v>204</v>
      </c>
      <c r="C214" s="288">
        <v>1160</v>
      </c>
      <c r="D214" s="288">
        <v>580</v>
      </c>
      <c r="E214" s="288">
        <v>387</v>
      </c>
      <c r="F214" s="289">
        <v>298</v>
      </c>
      <c r="G214" s="290">
        <v>238</v>
      </c>
      <c r="H214" s="288">
        <v>149</v>
      </c>
      <c r="I214" s="288">
        <v>99</v>
      </c>
      <c r="J214" s="288">
        <v>0.000207</v>
      </c>
      <c r="K214" s="288">
        <v>0.144</v>
      </c>
      <c r="L214" s="290">
        <v>0.129</v>
      </c>
      <c r="M214">
        <f t="shared" si="14"/>
        <v>232</v>
      </c>
      <c r="N214" s="291">
        <f t="shared" si="15"/>
        <v>290</v>
      </c>
      <c r="O214" s="291">
        <f t="shared" si="16"/>
        <v>145</v>
      </c>
      <c r="P214" s="291">
        <f t="shared" si="17"/>
        <v>96.66666666666667</v>
      </c>
    </row>
    <row r="215" spans="1:16" ht="12.75">
      <c r="A215" s="351" t="s">
        <v>511</v>
      </c>
      <c r="B215" s="357">
        <v>205</v>
      </c>
      <c r="C215" s="362">
        <v>1160</v>
      </c>
      <c r="D215" s="363">
        <v>580</v>
      </c>
      <c r="E215" s="363">
        <v>387</v>
      </c>
      <c r="F215" s="364">
        <v>298</v>
      </c>
      <c r="G215" s="362">
        <v>238</v>
      </c>
      <c r="H215" s="363">
        <v>149</v>
      </c>
      <c r="I215" s="363">
        <v>99</v>
      </c>
      <c r="J215" s="363">
        <v>0.000207</v>
      </c>
      <c r="K215" s="363">
        <v>0.144</v>
      </c>
      <c r="L215" s="362">
        <v>0.129</v>
      </c>
      <c r="M215">
        <f t="shared" si="14"/>
        <v>232</v>
      </c>
      <c r="N215" s="291">
        <f t="shared" si="15"/>
        <v>290</v>
      </c>
      <c r="O215" s="291">
        <f t="shared" si="16"/>
        <v>145</v>
      </c>
      <c r="P215" s="291">
        <f t="shared" si="17"/>
        <v>96.66666666666667</v>
      </c>
    </row>
    <row r="216" spans="1:16" ht="12.75">
      <c r="A216" s="351" t="s">
        <v>511</v>
      </c>
      <c r="B216" s="356">
        <v>206</v>
      </c>
      <c r="C216" s="288">
        <v>1190</v>
      </c>
      <c r="D216" s="288">
        <v>595</v>
      </c>
      <c r="E216" s="288">
        <v>397</v>
      </c>
      <c r="F216" s="289">
        <v>298</v>
      </c>
      <c r="G216" s="290">
        <v>238</v>
      </c>
      <c r="H216" s="288">
        <v>149</v>
      </c>
      <c r="I216" s="288">
        <v>99</v>
      </c>
      <c r="J216" s="288">
        <v>0.000202</v>
      </c>
      <c r="K216" s="288">
        <v>0.14</v>
      </c>
      <c r="L216" s="290">
        <v>0.126</v>
      </c>
      <c r="M216">
        <f t="shared" si="14"/>
        <v>238</v>
      </c>
      <c r="N216" s="291">
        <f t="shared" si="15"/>
        <v>297.5</v>
      </c>
      <c r="O216" s="291">
        <f t="shared" si="16"/>
        <v>148.75</v>
      </c>
      <c r="P216" s="291">
        <f t="shared" si="17"/>
        <v>99.16666666666667</v>
      </c>
    </row>
    <row r="217" spans="1:16" ht="12.75">
      <c r="A217" s="351" t="s">
        <v>511</v>
      </c>
      <c r="B217" s="356">
        <v>207</v>
      </c>
      <c r="C217" s="288">
        <v>1190</v>
      </c>
      <c r="D217" s="288">
        <v>595</v>
      </c>
      <c r="E217" s="288">
        <v>397</v>
      </c>
      <c r="F217" s="289">
        <v>298</v>
      </c>
      <c r="G217" s="290">
        <v>238</v>
      </c>
      <c r="H217" s="288">
        <v>149</v>
      </c>
      <c r="I217" s="288">
        <v>99</v>
      </c>
      <c r="J217" s="288">
        <v>0.000202</v>
      </c>
      <c r="K217" s="288">
        <v>0.14</v>
      </c>
      <c r="L217" s="290">
        <v>0.126</v>
      </c>
      <c r="M217">
        <f t="shared" si="14"/>
        <v>238</v>
      </c>
      <c r="N217" s="291">
        <f t="shared" si="15"/>
        <v>297.5</v>
      </c>
      <c r="O217" s="291">
        <f t="shared" si="16"/>
        <v>148.75</v>
      </c>
      <c r="P217" s="291">
        <f t="shared" si="17"/>
        <v>99.16666666666667</v>
      </c>
    </row>
    <row r="218" spans="1:16" ht="12.75">
      <c r="A218" s="351" t="s">
        <v>511</v>
      </c>
      <c r="B218" s="356">
        <v>208</v>
      </c>
      <c r="C218" s="288">
        <v>1190</v>
      </c>
      <c r="D218" s="288">
        <v>595</v>
      </c>
      <c r="E218" s="288">
        <v>397</v>
      </c>
      <c r="F218" s="289">
        <v>298</v>
      </c>
      <c r="G218" s="290">
        <v>238</v>
      </c>
      <c r="H218" s="288">
        <v>149</v>
      </c>
      <c r="I218" s="288">
        <v>99</v>
      </c>
      <c r="J218" s="288">
        <v>0.000202</v>
      </c>
      <c r="K218" s="288">
        <v>0.14</v>
      </c>
      <c r="L218" s="290">
        <v>0.126</v>
      </c>
      <c r="M218">
        <f t="shared" si="14"/>
        <v>238</v>
      </c>
      <c r="N218" s="291">
        <f t="shared" si="15"/>
        <v>297.5</v>
      </c>
      <c r="O218" s="291">
        <f t="shared" si="16"/>
        <v>148.75</v>
      </c>
      <c r="P218" s="291">
        <f t="shared" si="17"/>
        <v>99.16666666666667</v>
      </c>
    </row>
    <row r="219" spans="1:16" ht="12.75">
      <c r="A219" s="351" t="s">
        <v>511</v>
      </c>
      <c r="B219" s="356">
        <v>209</v>
      </c>
      <c r="C219" s="288">
        <v>1190</v>
      </c>
      <c r="D219" s="288">
        <v>595</v>
      </c>
      <c r="E219" s="288">
        <v>397</v>
      </c>
      <c r="F219" s="289">
        <v>298</v>
      </c>
      <c r="G219" s="290">
        <v>238</v>
      </c>
      <c r="H219" s="288">
        <v>149</v>
      </c>
      <c r="I219" s="288">
        <v>99</v>
      </c>
      <c r="J219" s="288">
        <v>0.000202</v>
      </c>
      <c r="K219" s="288">
        <v>0.14</v>
      </c>
      <c r="L219" s="290">
        <v>0.126</v>
      </c>
      <c r="M219">
        <f t="shared" si="14"/>
        <v>238</v>
      </c>
      <c r="N219" s="291">
        <f t="shared" si="15"/>
        <v>297.5</v>
      </c>
      <c r="O219" s="291">
        <f t="shared" si="16"/>
        <v>148.75</v>
      </c>
      <c r="P219" s="291">
        <f t="shared" si="17"/>
        <v>99.16666666666667</v>
      </c>
    </row>
    <row r="220" spans="1:16" ht="12.75">
      <c r="A220" s="351" t="s">
        <v>511</v>
      </c>
      <c r="B220" s="357">
        <v>210</v>
      </c>
      <c r="C220" s="362">
        <v>1190</v>
      </c>
      <c r="D220" s="363">
        <v>595</v>
      </c>
      <c r="E220" s="363">
        <v>397</v>
      </c>
      <c r="F220" s="364">
        <v>298</v>
      </c>
      <c r="G220" s="362">
        <v>238</v>
      </c>
      <c r="H220" s="363">
        <v>149</v>
      </c>
      <c r="I220" s="363">
        <v>99</v>
      </c>
      <c r="J220" s="363">
        <v>0.000202</v>
      </c>
      <c r="K220" s="363">
        <v>0.14</v>
      </c>
      <c r="L220" s="362">
        <v>0.126</v>
      </c>
      <c r="M220">
        <f t="shared" si="14"/>
        <v>238</v>
      </c>
      <c r="N220" s="291">
        <f t="shared" si="15"/>
        <v>297.5</v>
      </c>
      <c r="O220" s="291">
        <f t="shared" si="16"/>
        <v>148.75</v>
      </c>
      <c r="P220" s="291">
        <f t="shared" si="17"/>
        <v>99.16666666666667</v>
      </c>
    </row>
    <row r="221" spans="1:16" ht="12.75">
      <c r="A221" s="351" t="s">
        <v>511</v>
      </c>
      <c r="B221" s="324">
        <v>211</v>
      </c>
      <c r="C221" s="237">
        <v>1220</v>
      </c>
      <c r="D221" s="237">
        <v>610</v>
      </c>
      <c r="E221" s="237">
        <v>407</v>
      </c>
      <c r="F221" s="295">
        <v>343</v>
      </c>
      <c r="G221" s="236">
        <v>274</v>
      </c>
      <c r="H221" s="237">
        <v>172</v>
      </c>
      <c r="I221" s="237">
        <v>115</v>
      </c>
      <c r="J221" s="237">
        <v>0.000197</v>
      </c>
      <c r="K221" s="237">
        <v>0.137</v>
      </c>
      <c r="L221" s="236">
        <v>0.123</v>
      </c>
      <c r="M221">
        <f t="shared" si="14"/>
        <v>244</v>
      </c>
      <c r="N221" s="291">
        <f t="shared" si="15"/>
        <v>305</v>
      </c>
      <c r="O221" s="291">
        <f t="shared" si="16"/>
        <v>152.5</v>
      </c>
      <c r="P221" s="291">
        <f t="shared" si="17"/>
        <v>101.66666666666667</v>
      </c>
    </row>
    <row r="222" spans="1:16" ht="12.75">
      <c r="A222" s="351" t="s">
        <v>511</v>
      </c>
      <c r="B222" s="324">
        <v>212</v>
      </c>
      <c r="C222" s="237">
        <v>1220</v>
      </c>
      <c r="D222" s="237">
        <v>610</v>
      </c>
      <c r="E222" s="237">
        <v>407</v>
      </c>
      <c r="F222" s="295">
        <v>343</v>
      </c>
      <c r="G222" s="236">
        <v>274</v>
      </c>
      <c r="H222" s="237">
        <v>172</v>
      </c>
      <c r="I222" s="237">
        <v>115</v>
      </c>
      <c r="J222" s="237">
        <v>0.000197</v>
      </c>
      <c r="K222" s="237">
        <v>0.137</v>
      </c>
      <c r="L222" s="236">
        <v>0.123</v>
      </c>
      <c r="M222">
        <f t="shared" si="14"/>
        <v>244</v>
      </c>
      <c r="N222" s="291">
        <f t="shared" si="15"/>
        <v>305</v>
      </c>
      <c r="O222" s="291">
        <f t="shared" si="16"/>
        <v>152.5</v>
      </c>
      <c r="P222" s="291">
        <f t="shared" si="17"/>
        <v>101.66666666666667</v>
      </c>
    </row>
    <row r="223" spans="1:16" ht="12.75">
      <c r="A223" s="351" t="s">
        <v>511</v>
      </c>
      <c r="B223" s="324">
        <v>213</v>
      </c>
      <c r="C223" s="237">
        <v>1220</v>
      </c>
      <c r="D223" s="237">
        <v>610</v>
      </c>
      <c r="E223" s="237">
        <v>407</v>
      </c>
      <c r="F223" s="295">
        <v>343</v>
      </c>
      <c r="G223" s="236">
        <v>274</v>
      </c>
      <c r="H223" s="237">
        <v>172</v>
      </c>
      <c r="I223" s="237">
        <v>115</v>
      </c>
      <c r="J223" s="237">
        <v>0.000197</v>
      </c>
      <c r="K223" s="237">
        <v>0.137</v>
      </c>
      <c r="L223" s="236">
        <v>0.123</v>
      </c>
      <c r="M223">
        <f t="shared" si="14"/>
        <v>244</v>
      </c>
      <c r="N223" s="291">
        <f t="shared" si="15"/>
        <v>305</v>
      </c>
      <c r="O223" s="291">
        <f t="shared" si="16"/>
        <v>152.5</v>
      </c>
      <c r="P223" s="291">
        <f t="shared" si="17"/>
        <v>101.66666666666667</v>
      </c>
    </row>
    <row r="224" spans="1:16" ht="12.75">
      <c r="A224" s="351" t="s">
        <v>511</v>
      </c>
      <c r="B224" s="324">
        <v>214</v>
      </c>
      <c r="C224" s="237">
        <v>1220</v>
      </c>
      <c r="D224" s="237">
        <v>610</v>
      </c>
      <c r="E224" s="237">
        <v>407</v>
      </c>
      <c r="F224" s="295">
        <v>343</v>
      </c>
      <c r="G224" s="236">
        <v>274</v>
      </c>
      <c r="H224" s="237">
        <v>172</v>
      </c>
      <c r="I224" s="237">
        <v>115</v>
      </c>
      <c r="J224" s="237">
        <v>0.000197</v>
      </c>
      <c r="K224" s="237">
        <v>0.137</v>
      </c>
      <c r="L224" s="236">
        <v>0.123</v>
      </c>
      <c r="M224">
        <f t="shared" si="14"/>
        <v>244</v>
      </c>
      <c r="N224" s="291">
        <f t="shared" si="15"/>
        <v>305</v>
      </c>
      <c r="O224" s="291">
        <f t="shared" si="16"/>
        <v>152.5</v>
      </c>
      <c r="P224" s="291">
        <f t="shared" si="17"/>
        <v>101.66666666666667</v>
      </c>
    </row>
    <row r="225" spans="1:16" ht="12.75">
      <c r="A225" s="351" t="s">
        <v>511</v>
      </c>
      <c r="B225" s="326">
        <v>215</v>
      </c>
      <c r="C225" s="329">
        <v>1220</v>
      </c>
      <c r="D225" s="343">
        <v>610</v>
      </c>
      <c r="E225" s="343">
        <v>407</v>
      </c>
      <c r="F225" s="328">
        <v>343</v>
      </c>
      <c r="G225" s="329">
        <v>274</v>
      </c>
      <c r="H225" s="343">
        <v>172</v>
      </c>
      <c r="I225" s="343">
        <v>115</v>
      </c>
      <c r="J225" s="343">
        <v>0.000197</v>
      </c>
      <c r="K225" s="343">
        <v>0.137</v>
      </c>
      <c r="L225" s="329">
        <v>0.123</v>
      </c>
      <c r="M225">
        <f t="shared" si="14"/>
        <v>244</v>
      </c>
      <c r="N225" s="291">
        <f t="shared" si="15"/>
        <v>305</v>
      </c>
      <c r="O225" s="291">
        <f t="shared" si="16"/>
        <v>152.5</v>
      </c>
      <c r="P225" s="291">
        <f t="shared" si="17"/>
        <v>101.66666666666667</v>
      </c>
    </row>
    <row r="226" spans="1:16" ht="12.75">
      <c r="A226" s="351" t="s">
        <v>511</v>
      </c>
      <c r="B226" s="324">
        <v>216</v>
      </c>
      <c r="C226" s="237">
        <v>1250</v>
      </c>
      <c r="D226" s="237">
        <v>625</v>
      </c>
      <c r="E226" s="237">
        <v>417</v>
      </c>
      <c r="F226" s="295">
        <v>343</v>
      </c>
      <c r="G226" s="236">
        <v>274</v>
      </c>
      <c r="H226" s="237">
        <v>172</v>
      </c>
      <c r="I226" s="237">
        <v>115</v>
      </c>
      <c r="J226" s="237">
        <v>0.000192</v>
      </c>
      <c r="K226" s="237">
        <v>0.133</v>
      </c>
      <c r="L226" s="236">
        <v>0.12</v>
      </c>
      <c r="M226">
        <f t="shared" si="14"/>
        <v>250</v>
      </c>
      <c r="N226" s="291">
        <f t="shared" si="15"/>
        <v>312.5</v>
      </c>
      <c r="O226" s="291">
        <f t="shared" si="16"/>
        <v>156.25</v>
      </c>
      <c r="P226" s="291">
        <f t="shared" si="17"/>
        <v>104.16666666666667</v>
      </c>
    </row>
    <row r="227" spans="1:16" ht="12.75">
      <c r="A227" s="351" t="s">
        <v>511</v>
      </c>
      <c r="B227" s="324">
        <v>217</v>
      </c>
      <c r="C227" s="237">
        <v>1250</v>
      </c>
      <c r="D227" s="237">
        <v>625</v>
      </c>
      <c r="E227" s="237">
        <v>417</v>
      </c>
      <c r="F227" s="295">
        <v>343</v>
      </c>
      <c r="G227" s="236">
        <v>274</v>
      </c>
      <c r="H227" s="237">
        <v>172</v>
      </c>
      <c r="I227" s="237">
        <v>115</v>
      </c>
      <c r="J227" s="237">
        <v>0.000192</v>
      </c>
      <c r="K227" s="237">
        <v>0.133</v>
      </c>
      <c r="L227" s="236">
        <v>0.12</v>
      </c>
      <c r="M227">
        <f t="shared" si="14"/>
        <v>250</v>
      </c>
      <c r="N227" s="291">
        <f t="shared" si="15"/>
        <v>312.5</v>
      </c>
      <c r="O227" s="291">
        <f t="shared" si="16"/>
        <v>156.25</v>
      </c>
      <c r="P227" s="291">
        <f t="shared" si="17"/>
        <v>104.16666666666667</v>
      </c>
    </row>
    <row r="228" spans="1:16" ht="12.75">
      <c r="A228" s="351" t="s">
        <v>511</v>
      </c>
      <c r="B228" s="324">
        <v>218</v>
      </c>
      <c r="C228" s="237">
        <v>1250</v>
      </c>
      <c r="D228" s="237">
        <v>625</v>
      </c>
      <c r="E228" s="237">
        <v>417</v>
      </c>
      <c r="F228" s="295">
        <v>343</v>
      </c>
      <c r="G228" s="236">
        <v>274</v>
      </c>
      <c r="H228" s="237">
        <v>172</v>
      </c>
      <c r="I228" s="237">
        <v>115</v>
      </c>
      <c r="J228" s="237">
        <v>0.000192</v>
      </c>
      <c r="K228" s="237">
        <v>0.133</v>
      </c>
      <c r="L228" s="236">
        <v>0.12</v>
      </c>
      <c r="M228">
        <f t="shared" si="14"/>
        <v>250</v>
      </c>
      <c r="N228" s="291">
        <f t="shared" si="15"/>
        <v>312.5</v>
      </c>
      <c r="O228" s="291">
        <f t="shared" si="16"/>
        <v>156.25</v>
      </c>
      <c r="P228" s="291">
        <f t="shared" si="17"/>
        <v>104.16666666666667</v>
      </c>
    </row>
    <row r="229" spans="1:16" ht="12.75">
      <c r="A229" s="351" t="s">
        <v>511</v>
      </c>
      <c r="B229" s="324">
        <v>219</v>
      </c>
      <c r="C229" s="237">
        <v>1250</v>
      </c>
      <c r="D229" s="237">
        <v>625</v>
      </c>
      <c r="E229" s="237">
        <v>417</v>
      </c>
      <c r="F229" s="295">
        <v>343</v>
      </c>
      <c r="G229" s="236">
        <v>274</v>
      </c>
      <c r="H229" s="237">
        <v>172</v>
      </c>
      <c r="I229" s="237">
        <v>115</v>
      </c>
      <c r="J229" s="237">
        <v>0.000192</v>
      </c>
      <c r="K229" s="237">
        <v>0.133</v>
      </c>
      <c r="L229" s="236">
        <v>0.12</v>
      </c>
      <c r="M229">
        <f t="shared" si="14"/>
        <v>250</v>
      </c>
      <c r="N229" s="291">
        <f t="shared" si="15"/>
        <v>312.5</v>
      </c>
      <c r="O229" s="291">
        <f t="shared" si="16"/>
        <v>156.25</v>
      </c>
      <c r="P229" s="291">
        <f t="shared" si="17"/>
        <v>104.16666666666667</v>
      </c>
    </row>
    <row r="230" spans="1:16" ht="12.75">
      <c r="A230" s="351" t="s">
        <v>511</v>
      </c>
      <c r="B230" s="326">
        <v>220</v>
      </c>
      <c r="C230" s="329">
        <v>1250</v>
      </c>
      <c r="D230" s="343">
        <v>625</v>
      </c>
      <c r="E230" s="343">
        <v>417</v>
      </c>
      <c r="F230" s="328">
        <v>343</v>
      </c>
      <c r="G230" s="329">
        <v>274</v>
      </c>
      <c r="H230" s="343">
        <v>172</v>
      </c>
      <c r="I230" s="343">
        <v>115</v>
      </c>
      <c r="J230" s="343">
        <v>0.000192</v>
      </c>
      <c r="K230" s="343">
        <v>0.133</v>
      </c>
      <c r="L230" s="329">
        <v>0.12</v>
      </c>
      <c r="M230">
        <f t="shared" si="14"/>
        <v>250</v>
      </c>
      <c r="N230" s="291">
        <f t="shared" si="15"/>
        <v>312.5</v>
      </c>
      <c r="O230" s="291">
        <f t="shared" si="16"/>
        <v>156.25</v>
      </c>
      <c r="P230" s="291">
        <f t="shared" si="17"/>
        <v>104.16666666666667</v>
      </c>
    </row>
    <row r="231" spans="1:16" ht="12.75">
      <c r="A231" s="351" t="s">
        <v>511</v>
      </c>
      <c r="B231" s="324">
        <v>221</v>
      </c>
      <c r="C231" s="237">
        <v>1280</v>
      </c>
      <c r="D231" s="237">
        <v>640</v>
      </c>
      <c r="E231" s="237">
        <v>427</v>
      </c>
      <c r="F231" s="295">
        <v>343</v>
      </c>
      <c r="G231" s="236">
        <v>274</v>
      </c>
      <c r="H231" s="237">
        <v>172</v>
      </c>
      <c r="I231" s="237">
        <v>115</v>
      </c>
      <c r="J231" s="237">
        <v>0.000188</v>
      </c>
      <c r="K231" s="237">
        <v>0.13</v>
      </c>
      <c r="L231" s="236">
        <v>0.177</v>
      </c>
      <c r="M231">
        <f t="shared" si="14"/>
        <v>256</v>
      </c>
      <c r="N231" s="291">
        <f t="shared" si="15"/>
        <v>320</v>
      </c>
      <c r="O231" s="291">
        <f t="shared" si="16"/>
        <v>160</v>
      </c>
      <c r="P231" s="291">
        <f t="shared" si="17"/>
        <v>106.66666666666667</v>
      </c>
    </row>
    <row r="232" spans="1:16" ht="12.75">
      <c r="A232" s="351" t="s">
        <v>511</v>
      </c>
      <c r="B232" s="324">
        <v>222</v>
      </c>
      <c r="C232" s="237">
        <v>1280</v>
      </c>
      <c r="D232" s="237">
        <v>640</v>
      </c>
      <c r="E232" s="237">
        <v>427</v>
      </c>
      <c r="F232" s="295">
        <v>343</v>
      </c>
      <c r="G232" s="236">
        <v>274</v>
      </c>
      <c r="H232" s="237">
        <v>172</v>
      </c>
      <c r="I232" s="237">
        <v>115</v>
      </c>
      <c r="J232" s="237">
        <v>0.000188</v>
      </c>
      <c r="K232" s="237">
        <v>0.13</v>
      </c>
      <c r="L232" s="236">
        <v>0.177</v>
      </c>
      <c r="M232">
        <f t="shared" si="14"/>
        <v>256</v>
      </c>
      <c r="N232" s="291">
        <f t="shared" si="15"/>
        <v>320</v>
      </c>
      <c r="O232" s="291">
        <f t="shared" si="16"/>
        <v>160</v>
      </c>
      <c r="P232" s="291">
        <f t="shared" si="17"/>
        <v>106.66666666666667</v>
      </c>
    </row>
    <row r="233" spans="1:16" ht="12.75">
      <c r="A233" s="351" t="s">
        <v>511</v>
      </c>
      <c r="B233" s="324">
        <v>223</v>
      </c>
      <c r="C233" s="237">
        <v>1280</v>
      </c>
      <c r="D233" s="237">
        <v>640</v>
      </c>
      <c r="E233" s="237">
        <v>427</v>
      </c>
      <c r="F233" s="295">
        <v>343</v>
      </c>
      <c r="G233" s="236">
        <v>274</v>
      </c>
      <c r="H233" s="237">
        <v>172</v>
      </c>
      <c r="I233" s="237">
        <v>115</v>
      </c>
      <c r="J233" s="237">
        <v>0.000188</v>
      </c>
      <c r="K233" s="237">
        <v>0.13</v>
      </c>
      <c r="L233" s="236">
        <v>0.177</v>
      </c>
      <c r="M233">
        <f t="shared" si="14"/>
        <v>256</v>
      </c>
      <c r="N233" s="291">
        <f t="shared" si="15"/>
        <v>320</v>
      </c>
      <c r="O233" s="291">
        <f t="shared" si="16"/>
        <v>160</v>
      </c>
      <c r="P233" s="291">
        <f t="shared" si="17"/>
        <v>106.66666666666667</v>
      </c>
    </row>
    <row r="234" spans="1:16" ht="12.75">
      <c r="A234" s="351" t="s">
        <v>511</v>
      </c>
      <c r="B234" s="324">
        <v>224</v>
      </c>
      <c r="C234" s="237">
        <v>1280</v>
      </c>
      <c r="D234" s="237">
        <v>640</v>
      </c>
      <c r="E234" s="237">
        <v>427</v>
      </c>
      <c r="F234" s="295">
        <v>343</v>
      </c>
      <c r="G234" s="236">
        <v>274</v>
      </c>
      <c r="H234" s="237">
        <v>172</v>
      </c>
      <c r="I234" s="237">
        <v>115</v>
      </c>
      <c r="J234" s="237">
        <v>0.000188</v>
      </c>
      <c r="K234" s="237">
        <v>0.13</v>
      </c>
      <c r="L234" s="236">
        <v>0.177</v>
      </c>
      <c r="M234">
        <f t="shared" si="14"/>
        <v>256</v>
      </c>
      <c r="N234" s="291">
        <f t="shared" si="15"/>
        <v>320</v>
      </c>
      <c r="O234" s="291">
        <f t="shared" si="16"/>
        <v>160</v>
      </c>
      <c r="P234" s="291">
        <f t="shared" si="17"/>
        <v>106.66666666666667</v>
      </c>
    </row>
    <row r="235" spans="1:16" ht="12.75">
      <c r="A235" s="351" t="s">
        <v>511</v>
      </c>
      <c r="B235" s="326">
        <v>225</v>
      </c>
      <c r="C235" s="329">
        <v>1280</v>
      </c>
      <c r="D235" s="343">
        <v>640</v>
      </c>
      <c r="E235" s="343">
        <v>427</v>
      </c>
      <c r="F235" s="328">
        <v>343</v>
      </c>
      <c r="G235" s="329">
        <v>274</v>
      </c>
      <c r="H235" s="343">
        <v>172</v>
      </c>
      <c r="I235" s="343">
        <v>115</v>
      </c>
      <c r="J235" s="343">
        <v>0.000188</v>
      </c>
      <c r="K235" s="343">
        <v>0.13</v>
      </c>
      <c r="L235" s="329">
        <v>0.177</v>
      </c>
      <c r="M235">
        <f t="shared" si="14"/>
        <v>256</v>
      </c>
      <c r="N235" s="291">
        <f t="shared" si="15"/>
        <v>320</v>
      </c>
      <c r="O235" s="291">
        <f t="shared" si="16"/>
        <v>160</v>
      </c>
      <c r="P235" s="291">
        <f t="shared" si="17"/>
        <v>106.66666666666667</v>
      </c>
    </row>
    <row r="236" spans="1:16" ht="12.75">
      <c r="A236" s="351" t="s">
        <v>511</v>
      </c>
      <c r="B236" s="324">
        <v>226</v>
      </c>
      <c r="C236" s="236">
        <v>1310</v>
      </c>
      <c r="D236" s="237">
        <v>655</v>
      </c>
      <c r="E236" s="237">
        <v>437</v>
      </c>
      <c r="F236" s="295">
        <v>343</v>
      </c>
      <c r="G236" s="236">
        <v>274</v>
      </c>
      <c r="H236" s="237">
        <v>172</v>
      </c>
      <c r="I236" s="237">
        <v>115</v>
      </c>
      <c r="J236" s="237">
        <v>0.000183</v>
      </c>
      <c r="K236" s="237">
        <v>0.127</v>
      </c>
      <c r="L236" s="236">
        <v>0.155</v>
      </c>
      <c r="M236">
        <f t="shared" si="14"/>
        <v>262</v>
      </c>
      <c r="N236" s="291">
        <f t="shared" si="15"/>
        <v>327.5</v>
      </c>
      <c r="O236" s="291">
        <f t="shared" si="16"/>
        <v>163.75</v>
      </c>
      <c r="P236" s="291">
        <f t="shared" si="17"/>
        <v>109.16666666666667</v>
      </c>
    </row>
    <row r="237" spans="1:16" ht="12.75">
      <c r="A237" s="351" t="s">
        <v>511</v>
      </c>
      <c r="B237" s="324">
        <v>227</v>
      </c>
      <c r="C237" s="236">
        <v>1310</v>
      </c>
      <c r="D237" s="237">
        <v>655</v>
      </c>
      <c r="E237" s="237">
        <v>437</v>
      </c>
      <c r="F237" s="295">
        <v>343</v>
      </c>
      <c r="G237" s="236">
        <v>274</v>
      </c>
      <c r="H237" s="237">
        <v>172</v>
      </c>
      <c r="I237" s="237">
        <v>115</v>
      </c>
      <c r="J237" s="237">
        <v>0.000183</v>
      </c>
      <c r="K237" s="237">
        <v>0.127</v>
      </c>
      <c r="L237" s="236">
        <v>0.155</v>
      </c>
      <c r="M237">
        <f t="shared" si="14"/>
        <v>262</v>
      </c>
      <c r="N237" s="291">
        <f t="shared" si="15"/>
        <v>327.5</v>
      </c>
      <c r="O237" s="291">
        <f t="shared" si="16"/>
        <v>163.75</v>
      </c>
      <c r="P237" s="291">
        <f t="shared" si="17"/>
        <v>109.16666666666667</v>
      </c>
    </row>
    <row r="238" spans="1:16" ht="12.75">
      <c r="A238" s="351" t="s">
        <v>511</v>
      </c>
      <c r="B238" s="324">
        <v>228</v>
      </c>
      <c r="C238" s="236">
        <v>1310</v>
      </c>
      <c r="D238" s="237">
        <v>655</v>
      </c>
      <c r="E238" s="237">
        <v>437</v>
      </c>
      <c r="F238" s="295">
        <v>343</v>
      </c>
      <c r="G238" s="236">
        <v>274</v>
      </c>
      <c r="H238" s="237">
        <v>172</v>
      </c>
      <c r="I238" s="237">
        <v>115</v>
      </c>
      <c r="J238" s="237">
        <v>0.000183</v>
      </c>
      <c r="K238" s="237">
        <v>0.127</v>
      </c>
      <c r="L238" s="236">
        <v>0.155</v>
      </c>
      <c r="M238">
        <f t="shared" si="14"/>
        <v>262</v>
      </c>
      <c r="N238" s="291">
        <f t="shared" si="15"/>
        <v>327.5</v>
      </c>
      <c r="O238" s="291">
        <f t="shared" si="16"/>
        <v>163.75</v>
      </c>
      <c r="P238" s="291">
        <f t="shared" si="17"/>
        <v>109.16666666666667</v>
      </c>
    </row>
    <row r="239" spans="1:16" ht="12.75">
      <c r="A239" s="351" t="s">
        <v>511</v>
      </c>
      <c r="B239" s="324">
        <v>229</v>
      </c>
      <c r="C239" s="236">
        <v>1310</v>
      </c>
      <c r="D239" s="237">
        <v>655</v>
      </c>
      <c r="E239" s="237">
        <v>437</v>
      </c>
      <c r="F239" s="295">
        <v>343</v>
      </c>
      <c r="G239" s="236">
        <v>274</v>
      </c>
      <c r="H239" s="237">
        <v>172</v>
      </c>
      <c r="I239" s="237">
        <v>115</v>
      </c>
      <c r="J239" s="237">
        <v>0.000183</v>
      </c>
      <c r="K239" s="237">
        <v>0.127</v>
      </c>
      <c r="L239" s="236">
        <v>0.155</v>
      </c>
      <c r="M239">
        <f t="shared" si="14"/>
        <v>262</v>
      </c>
      <c r="N239" s="291">
        <f t="shared" si="15"/>
        <v>327.5</v>
      </c>
      <c r="O239" s="291">
        <f t="shared" si="16"/>
        <v>163.75</v>
      </c>
      <c r="P239" s="291">
        <f t="shared" si="17"/>
        <v>109.16666666666667</v>
      </c>
    </row>
    <row r="240" spans="1:16" ht="12.75">
      <c r="A240" s="351" t="s">
        <v>511</v>
      </c>
      <c r="B240" s="326">
        <v>230</v>
      </c>
      <c r="C240" s="329">
        <v>1310</v>
      </c>
      <c r="D240" s="343">
        <v>655</v>
      </c>
      <c r="E240" s="343">
        <v>437</v>
      </c>
      <c r="F240" s="328">
        <v>343</v>
      </c>
      <c r="G240" s="329">
        <v>274</v>
      </c>
      <c r="H240" s="343">
        <v>172</v>
      </c>
      <c r="I240" s="343">
        <v>115</v>
      </c>
      <c r="J240" s="343">
        <v>0.000183</v>
      </c>
      <c r="K240" s="343">
        <v>0.127</v>
      </c>
      <c r="L240" s="329">
        <v>0.155</v>
      </c>
      <c r="M240">
        <f t="shared" si="14"/>
        <v>262</v>
      </c>
      <c r="N240" s="291">
        <f t="shared" si="15"/>
        <v>327.5</v>
      </c>
      <c r="O240" s="291">
        <f t="shared" si="16"/>
        <v>163.75</v>
      </c>
      <c r="P240" s="291">
        <f t="shared" si="17"/>
        <v>109.16666666666667</v>
      </c>
    </row>
    <row r="241" spans="1:16" ht="12.75">
      <c r="A241" s="351" t="s">
        <v>511</v>
      </c>
      <c r="B241" s="324">
        <v>231</v>
      </c>
      <c r="C241" s="236">
        <v>1340</v>
      </c>
      <c r="D241" s="237">
        <v>670</v>
      </c>
      <c r="E241" s="237">
        <v>447</v>
      </c>
      <c r="F241" s="295">
        <v>343</v>
      </c>
      <c r="G241" s="236">
        <v>274</v>
      </c>
      <c r="H241" s="237">
        <v>172</v>
      </c>
      <c r="I241" s="237">
        <v>115</v>
      </c>
      <c r="J241" s="237">
        <v>0.000179</v>
      </c>
      <c r="K241" s="237">
        <v>0.124</v>
      </c>
      <c r="L241" s="236">
        <v>0.112</v>
      </c>
      <c r="M241">
        <f t="shared" si="14"/>
        <v>268</v>
      </c>
      <c r="N241" s="291">
        <f t="shared" si="15"/>
        <v>335</v>
      </c>
      <c r="O241" s="291">
        <f t="shared" si="16"/>
        <v>167.5</v>
      </c>
      <c r="P241" s="291">
        <f t="shared" si="17"/>
        <v>111.66666666666667</v>
      </c>
    </row>
    <row r="242" spans="1:16" ht="12.75">
      <c r="A242" s="351" t="s">
        <v>511</v>
      </c>
      <c r="B242" s="324">
        <v>232</v>
      </c>
      <c r="C242" s="236">
        <v>1340</v>
      </c>
      <c r="D242" s="237">
        <v>670</v>
      </c>
      <c r="E242" s="237">
        <v>447</v>
      </c>
      <c r="F242" s="295">
        <v>343</v>
      </c>
      <c r="G242" s="236">
        <v>274</v>
      </c>
      <c r="H242" s="237">
        <v>172</v>
      </c>
      <c r="I242" s="237">
        <v>115</v>
      </c>
      <c r="J242" s="237">
        <v>0.000179</v>
      </c>
      <c r="K242" s="237">
        <v>0.124</v>
      </c>
      <c r="L242" s="236">
        <v>0.112</v>
      </c>
      <c r="M242">
        <f t="shared" si="14"/>
        <v>268</v>
      </c>
      <c r="N242" s="291">
        <f t="shared" si="15"/>
        <v>335</v>
      </c>
      <c r="O242" s="291">
        <f t="shared" si="16"/>
        <v>167.5</v>
      </c>
      <c r="P242" s="291">
        <f t="shared" si="17"/>
        <v>111.66666666666667</v>
      </c>
    </row>
    <row r="243" spans="1:16" ht="12.75">
      <c r="A243" s="351" t="s">
        <v>511</v>
      </c>
      <c r="B243" s="324">
        <v>233</v>
      </c>
      <c r="C243" s="236">
        <v>1340</v>
      </c>
      <c r="D243" s="237">
        <v>670</v>
      </c>
      <c r="E243" s="237">
        <v>447</v>
      </c>
      <c r="F243" s="295">
        <v>343</v>
      </c>
      <c r="G243" s="236">
        <v>274</v>
      </c>
      <c r="H243" s="237">
        <v>172</v>
      </c>
      <c r="I243" s="237">
        <v>115</v>
      </c>
      <c r="J243" s="237">
        <v>0.000179</v>
      </c>
      <c r="K243" s="237">
        <v>0.124</v>
      </c>
      <c r="L243" s="236">
        <v>0.112</v>
      </c>
      <c r="M243">
        <f t="shared" si="14"/>
        <v>268</v>
      </c>
      <c r="N243" s="291">
        <f t="shared" si="15"/>
        <v>335</v>
      </c>
      <c r="O243" s="291">
        <f t="shared" si="16"/>
        <v>167.5</v>
      </c>
      <c r="P243" s="291">
        <f t="shared" si="17"/>
        <v>111.66666666666667</v>
      </c>
    </row>
    <row r="244" spans="1:16" ht="12.75">
      <c r="A244" s="351" t="s">
        <v>511</v>
      </c>
      <c r="B244" s="324">
        <v>234</v>
      </c>
      <c r="C244" s="236">
        <v>1340</v>
      </c>
      <c r="D244" s="237">
        <v>670</v>
      </c>
      <c r="E244" s="237">
        <v>447</v>
      </c>
      <c r="F244" s="295">
        <v>343</v>
      </c>
      <c r="G244" s="236">
        <v>274</v>
      </c>
      <c r="H244" s="237">
        <v>172</v>
      </c>
      <c r="I244" s="237">
        <v>115</v>
      </c>
      <c r="J244" s="237">
        <v>0.000179</v>
      </c>
      <c r="K244" s="237">
        <v>0.124</v>
      </c>
      <c r="L244" s="236">
        <v>0.112</v>
      </c>
      <c r="M244">
        <f t="shared" si="14"/>
        <v>268</v>
      </c>
      <c r="N244" s="291">
        <f t="shared" si="15"/>
        <v>335</v>
      </c>
      <c r="O244" s="291">
        <f t="shared" si="16"/>
        <v>167.5</v>
      </c>
      <c r="P244" s="291">
        <f t="shared" si="17"/>
        <v>111.66666666666667</v>
      </c>
    </row>
    <row r="245" spans="1:16" ht="12.75">
      <c r="A245" s="351" t="s">
        <v>511</v>
      </c>
      <c r="B245" s="326">
        <v>235</v>
      </c>
      <c r="C245" s="329">
        <v>1340</v>
      </c>
      <c r="D245" s="343">
        <v>670</v>
      </c>
      <c r="E245" s="343">
        <v>447</v>
      </c>
      <c r="F245" s="328">
        <v>343</v>
      </c>
      <c r="G245" s="329">
        <v>274</v>
      </c>
      <c r="H245" s="343">
        <v>172</v>
      </c>
      <c r="I245" s="343">
        <v>115</v>
      </c>
      <c r="J245" s="343">
        <v>0.000179</v>
      </c>
      <c r="K245" s="343">
        <v>0.124</v>
      </c>
      <c r="L245" s="329">
        <v>0.112</v>
      </c>
      <c r="M245">
        <f t="shared" si="14"/>
        <v>268</v>
      </c>
      <c r="N245" s="291">
        <f t="shared" si="15"/>
        <v>335</v>
      </c>
      <c r="O245" s="291">
        <f t="shared" si="16"/>
        <v>167.5</v>
      </c>
      <c r="P245" s="291">
        <f t="shared" si="17"/>
        <v>111.66666666666667</v>
      </c>
    </row>
    <row r="246" spans="1:16" ht="12.75">
      <c r="A246" s="351" t="s">
        <v>511</v>
      </c>
      <c r="B246" s="324">
        <v>236</v>
      </c>
      <c r="C246" s="237">
        <v>1370</v>
      </c>
      <c r="D246" s="237">
        <v>685</v>
      </c>
      <c r="E246" s="237">
        <v>457</v>
      </c>
      <c r="F246" s="295">
        <v>343</v>
      </c>
      <c r="G246" s="236">
        <v>274</v>
      </c>
      <c r="H246" s="237">
        <v>172</v>
      </c>
      <c r="I246" s="237">
        <v>115</v>
      </c>
      <c r="J246" s="237">
        <v>0.000175</v>
      </c>
      <c r="K246" s="237">
        <v>0.122</v>
      </c>
      <c r="L246" s="236">
        <v>0.112</v>
      </c>
      <c r="M246">
        <f t="shared" si="14"/>
        <v>274</v>
      </c>
      <c r="N246" s="291">
        <f t="shared" si="15"/>
        <v>342.5</v>
      </c>
      <c r="O246" s="291">
        <f t="shared" si="16"/>
        <v>171.25</v>
      </c>
      <c r="P246" s="291">
        <f t="shared" si="17"/>
        <v>114.16666666666667</v>
      </c>
    </row>
    <row r="247" spans="1:16" ht="12.75">
      <c r="A247" s="351" t="s">
        <v>511</v>
      </c>
      <c r="B247" s="324">
        <v>237</v>
      </c>
      <c r="C247" s="237">
        <v>1370</v>
      </c>
      <c r="D247" s="237">
        <v>685</v>
      </c>
      <c r="E247" s="237">
        <v>457</v>
      </c>
      <c r="F247" s="295">
        <v>343</v>
      </c>
      <c r="G247" s="236">
        <v>274</v>
      </c>
      <c r="H247" s="237">
        <v>172</v>
      </c>
      <c r="I247" s="237">
        <v>115</v>
      </c>
      <c r="J247" s="237">
        <v>0.000175</v>
      </c>
      <c r="K247" s="237">
        <v>0.122</v>
      </c>
      <c r="L247" s="236">
        <v>0.109</v>
      </c>
      <c r="M247">
        <f t="shared" si="14"/>
        <v>274</v>
      </c>
      <c r="N247" s="291">
        <f t="shared" si="15"/>
        <v>342.5</v>
      </c>
      <c r="O247" s="291">
        <f t="shared" si="16"/>
        <v>171.25</v>
      </c>
      <c r="P247" s="291">
        <f t="shared" si="17"/>
        <v>114.16666666666667</v>
      </c>
    </row>
    <row r="248" spans="1:16" ht="12.75">
      <c r="A248" s="351" t="s">
        <v>511</v>
      </c>
      <c r="B248" s="324">
        <v>238</v>
      </c>
      <c r="C248" s="237">
        <v>1370</v>
      </c>
      <c r="D248" s="237">
        <v>685</v>
      </c>
      <c r="E248" s="237">
        <v>457</v>
      </c>
      <c r="F248" s="295">
        <v>343</v>
      </c>
      <c r="G248" s="236">
        <v>274</v>
      </c>
      <c r="H248" s="237">
        <v>172</v>
      </c>
      <c r="I248" s="237">
        <v>115</v>
      </c>
      <c r="J248" s="237">
        <v>0.000175</v>
      </c>
      <c r="K248" s="237">
        <v>0.122</v>
      </c>
      <c r="L248" s="236">
        <v>0.109</v>
      </c>
      <c r="M248">
        <f t="shared" si="14"/>
        <v>274</v>
      </c>
      <c r="N248" s="291">
        <f t="shared" si="15"/>
        <v>342.5</v>
      </c>
      <c r="O248" s="291">
        <f t="shared" si="16"/>
        <v>171.25</v>
      </c>
      <c r="P248" s="291">
        <f t="shared" si="17"/>
        <v>114.16666666666667</v>
      </c>
    </row>
    <row r="249" spans="1:16" ht="12.75">
      <c r="A249" s="351" t="s">
        <v>511</v>
      </c>
      <c r="B249" s="324">
        <v>239</v>
      </c>
      <c r="C249" s="237">
        <v>1370</v>
      </c>
      <c r="D249" s="237">
        <v>685</v>
      </c>
      <c r="E249" s="237">
        <v>457</v>
      </c>
      <c r="F249" s="295">
        <v>343</v>
      </c>
      <c r="G249" s="236">
        <v>274</v>
      </c>
      <c r="H249" s="237">
        <v>172</v>
      </c>
      <c r="I249" s="237">
        <v>115</v>
      </c>
      <c r="J249" s="237">
        <v>0.000175</v>
      </c>
      <c r="K249" s="237">
        <v>0.122</v>
      </c>
      <c r="L249" s="236">
        <v>0.109</v>
      </c>
      <c r="M249">
        <f t="shared" si="14"/>
        <v>274</v>
      </c>
      <c r="N249" s="291">
        <f t="shared" si="15"/>
        <v>342.5</v>
      </c>
      <c r="O249" s="291">
        <f t="shared" si="16"/>
        <v>171.25</v>
      </c>
      <c r="P249" s="291">
        <f t="shared" si="17"/>
        <v>114.16666666666667</v>
      </c>
    </row>
    <row r="250" spans="1:16" ht="12.75">
      <c r="A250" s="351" t="s">
        <v>511</v>
      </c>
      <c r="B250" s="324">
        <v>240</v>
      </c>
      <c r="C250" s="237">
        <v>1370</v>
      </c>
      <c r="D250" s="237">
        <v>685</v>
      </c>
      <c r="E250" s="237">
        <v>457</v>
      </c>
      <c r="F250" s="295">
        <v>343</v>
      </c>
      <c r="G250" s="236">
        <v>274</v>
      </c>
      <c r="H250" s="236">
        <v>172</v>
      </c>
      <c r="I250" s="237">
        <v>115</v>
      </c>
      <c r="J250" s="237">
        <v>0.000175</v>
      </c>
      <c r="K250" s="237">
        <v>0.122</v>
      </c>
      <c r="L250" s="236">
        <v>0.109</v>
      </c>
      <c r="M250">
        <f t="shared" si="14"/>
        <v>274</v>
      </c>
      <c r="N250" s="291">
        <f t="shared" si="15"/>
        <v>342.5</v>
      </c>
      <c r="O250" s="291">
        <f t="shared" si="16"/>
        <v>171.25</v>
      </c>
      <c r="P250" s="291">
        <f t="shared" si="17"/>
        <v>114.16666666666667</v>
      </c>
    </row>
    <row r="251" spans="1:16" ht="13.5" thickBot="1">
      <c r="A251" s="351" t="s">
        <v>511</v>
      </c>
      <c r="B251" s="367"/>
      <c r="C251" s="249"/>
      <c r="D251" s="249"/>
      <c r="E251" s="249"/>
      <c r="F251" s="264"/>
      <c r="G251" s="264"/>
      <c r="H251" s="264"/>
      <c r="I251" s="264"/>
      <c r="J251" s="249"/>
      <c r="K251" s="249"/>
      <c r="L251" s="368"/>
      <c r="N251" s="291"/>
      <c r="O251" s="291"/>
      <c r="P251" s="291"/>
    </row>
    <row r="254" spans="6:7" ht="12.75">
      <c r="F254" s="369"/>
      <c r="G254" s="369"/>
    </row>
  </sheetData>
  <sheetProtection/>
  <mergeCells count="11">
    <mergeCell ref="T5:U5"/>
    <mergeCell ref="D6:E8"/>
    <mergeCell ref="F6:G8"/>
    <mergeCell ref="H6:I8"/>
    <mergeCell ref="T6:U6"/>
    <mergeCell ref="T7:U7"/>
    <mergeCell ref="AT4:AW4"/>
    <mergeCell ref="AQ4:AR4"/>
    <mergeCell ref="C4:I4"/>
    <mergeCell ref="C5:E5"/>
    <mergeCell ref="F5:I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</dc:creator>
  <cp:keywords/>
  <dc:description/>
  <cp:lastModifiedBy>ADPH</cp:lastModifiedBy>
  <cp:lastPrinted>2008-06-27T19:36:36Z</cp:lastPrinted>
  <dcterms:created xsi:type="dcterms:W3CDTF">2005-12-30T00:03:15Z</dcterms:created>
  <dcterms:modified xsi:type="dcterms:W3CDTF">2013-10-07T16:32:33Z</dcterms:modified>
  <cp:category/>
  <cp:version/>
  <cp:contentType/>
  <cp:contentStatus/>
</cp:coreProperties>
</file>